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comments15.xml" ContentType="application/vnd.openxmlformats-officedocument.spreadsheetml.comments+xml"/>
  <Override PartName="/xl/drawings/drawing1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6.xml" ContentType="application/vnd.openxmlformats-officedocument.spreadsheetml.comments+xml"/>
  <Override PartName="/xl/drawings/drawing18.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7.xml" ContentType="application/vnd.openxmlformats-officedocument.spreadsheetml.comments+xml"/>
  <Override PartName="/xl/drawings/drawing19.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8.xml" ContentType="application/vnd.openxmlformats-officedocument.spreadsheetml.comments+xml"/>
  <Override PartName="/xl/drawings/drawing20.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9.xml" ContentType="application/vnd.openxmlformats-officedocument.spreadsheetml.comments+xml"/>
  <Override PartName="/xl/drawings/drawing21.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20.xml" ContentType="application/vnd.openxmlformats-officedocument.spreadsheetml.comments+xml"/>
  <Override PartName="/xl/drawings/drawing2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21.xml" ContentType="application/vnd.openxmlformats-officedocument.spreadsheetml.comments+xml"/>
  <Override PartName="/xl/drawings/drawing23.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4.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22.xml" ContentType="application/vnd.openxmlformats-officedocument.spreadsheetml.comments+xml"/>
  <Override PartName="/xl/drawings/drawing25.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omments23.xml" ContentType="application/vnd.openxmlformats-officedocument.spreadsheetml.comments+xml"/>
  <Override PartName="/xl/drawings/drawing26.xml" ContentType="application/vnd.openxmlformats-officedocument.drawing+xml"/>
  <Override PartName="/xl/comments24.xml" ContentType="application/vnd.openxmlformats-officedocument.spreadsheetml.comments+xml"/>
  <Override PartName="/xl/drawings/drawing27.xml" ContentType="application/vnd.openxmlformats-officedocument.drawing+xml"/>
  <Override PartName="/xl/comments25.xml" ContentType="application/vnd.openxmlformats-officedocument.spreadsheetml.comments+xml"/>
  <Override PartName="/xl/drawings/drawing28.xml" ContentType="application/vnd.openxmlformats-officedocument.drawing+xml"/>
  <Override PartName="/xl/comments26.xml" ContentType="application/vnd.openxmlformats-officedocument.spreadsheetml.comments+xml"/>
  <Override PartName="/xl/drawings/drawing29.xml" ContentType="application/vnd.openxmlformats-officedocument.drawing+xml"/>
  <Override PartName="/xl/comments27.xml" ContentType="application/vnd.openxmlformats-officedocument.spreadsheetml.comments+xml"/>
  <Override PartName="/xl/drawings/drawing30.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2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ЭтаКнига" hidePivotFieldList="1" defaultThemeVersion="124226"/>
  <workbookProtection workbookPassword="E213" lockStructure="1"/>
  <bookViews>
    <workbookView xWindow="0" yWindow="210" windowWidth="19320" windowHeight="5670" tabRatio="917" firstSheet="22" activeTab="22"/>
  </bookViews>
  <sheets>
    <sheet name="РегСкидка" sheetId="76" state="hidden" r:id="rId1"/>
    <sheet name="ЛАЙТ Юрга" sheetId="90" state="hidden" r:id="rId2"/>
    <sheet name="ЛАЙТ Рязань" sheetId="30" state="hidden" r:id="rId3"/>
    <sheet name="ФАСАД Юрга" sheetId="91" state="hidden" r:id="rId4"/>
    <sheet name="ФАСАД Рязань" sheetId="43" state="hidden" r:id="rId5"/>
    <sheet name="ПОЛЫ Юрга" sheetId="93" state="hidden" r:id="rId6"/>
    <sheet name="ПОЛЫ Рязань" sheetId="80" state="hidden" r:id="rId7"/>
    <sheet name="КРОВЛЯ Юрга" sheetId="92" state="hidden" r:id="rId8"/>
    <sheet name="КРОВЛЯ Рязань" sheetId="44" state="hidden" r:id="rId9"/>
    <sheet name="ДВОЙНОЙ" sheetId="46" state="hidden" r:id="rId10"/>
    <sheet name="СЭНДВИЧ" sheetId="47" state="hidden" r:id="rId11"/>
    <sheet name="ИЗОБОКС Рязань" sheetId="64" state="hidden" r:id="rId12"/>
    <sheet name="Плиты П" sheetId="51" state="hidden" r:id="rId13"/>
    <sheet name="ЛАЙТ Заинск" sheetId="81" state="hidden" r:id="rId14"/>
    <sheet name="ФАСАД Заинск" sheetId="82" state="hidden" r:id="rId15"/>
    <sheet name="КРОВЛЯ Заинск" sheetId="83" state="hidden" r:id="rId16"/>
    <sheet name="ИЗОБОКС Заинск" sheetId="84" state="hidden" r:id="rId17"/>
    <sheet name="ПОЛЫ Заинск" sheetId="88" state="hidden" r:id="rId18"/>
    <sheet name="Доставка по областям" sheetId="67" state="hidden" r:id="rId19"/>
    <sheet name="Итоговая стоимость" sheetId="68" state="hidden" r:id="rId20"/>
    <sheet name="Рулонная изоляция" sheetId="85" state="hidden" r:id="rId21"/>
    <sheet name="АКСИ ExW" sheetId="98" state="hidden" r:id="rId22"/>
    <sheet name="АКСИ DDP" sheetId="97" r:id="rId23"/>
    <sheet name="Лайт+АКУСТИК DDP" sheetId="69" r:id="rId24"/>
    <sheet name="ФасадDDP" sheetId="70" r:id="rId25"/>
    <sheet name="КровляDDP" sheetId="71" r:id="rId26"/>
    <sheet name="ДвойнойDDP" sheetId="72" state="hidden" r:id="rId27"/>
    <sheet name="ПолыDDP" sheetId="79" r:id="rId28"/>
    <sheet name="ПлитыП_DDP" sheetId="74" state="hidden" r:id="rId29"/>
    <sheet name="ИзобоксDDP" sheetId="75" r:id="rId30"/>
    <sheet name="Рулонная изоляция DDP" sheetId="87" r:id="rId31"/>
    <sheet name="СЭНДВИЧИ (ExW)" sheetId="77" state="hidden" r:id="rId32"/>
    <sheet name="Доставка за м3" sheetId="89" state="hidden" r:id="rId33"/>
    <sheet name="ТРУФ КЛИН ExW Заинск" sheetId="96" state="hidden" r:id="rId34"/>
    <sheet name="ТРУФ КЛИН ExW Юрга" sheetId="99" state="hidden" r:id="rId35"/>
    <sheet name="ТРУФ КЛИН ExW Рязань" sheetId="94" state="hidden" r:id="rId36"/>
    <sheet name="ТЕХНОРУФ КЛИН DDP" sheetId="95" r:id="rId37"/>
    <sheet name="Доп. услуги" sheetId="78" r:id="rId38"/>
  </sheets>
  <definedNames>
    <definedName name="_xlnm._FilterDatabase" localSheetId="18" hidden="1">'Доставка по областям'!$A$1:$F$71</definedName>
    <definedName name="_xlnm._FilterDatabase" localSheetId="25" hidden="1">КровляDDP!$A$5:$T$50</definedName>
    <definedName name="_xlnm.Print_Area" localSheetId="22">'АКСИ DDP'!$A$1:$T$66</definedName>
    <definedName name="_xlnm.Print_Area" localSheetId="21">'АКСИ ExW'!$A$1:$T$66</definedName>
    <definedName name="_xlnm.Print_Area" localSheetId="9">ДВОЙНОЙ!$A$1:$S$57</definedName>
    <definedName name="_xlnm.Print_Area" localSheetId="26">ДвойнойDDP!$A$1:$T$57</definedName>
    <definedName name="_xlnm.Print_Area" localSheetId="16">'ИЗОБОКС Заинск'!$A$1:$O$112</definedName>
    <definedName name="_xlnm.Print_Area" localSheetId="11">'ИЗОБОКС Рязань'!$A$1:$O$112</definedName>
    <definedName name="_xlnm.Print_Area" localSheetId="29">ИзобоксDDP!$A$1:$Q$115</definedName>
    <definedName name="_xlnm.Print_Area" localSheetId="15">'КРОВЛЯ Заинск'!$A$1:$S$61</definedName>
    <definedName name="_xlnm.Print_Area" localSheetId="8">'КРОВЛЯ Рязань'!$A$1:$S$61</definedName>
    <definedName name="_xlnm.Print_Area" localSheetId="7">'КРОВЛЯ Юрга'!$A$1:$S$61</definedName>
    <definedName name="_xlnm.Print_Area" localSheetId="25">КровляDDP!$A$1:$T$61</definedName>
    <definedName name="_xlnm.Print_Area" localSheetId="13">'ЛАЙТ Заинск'!$A$1:$S$82</definedName>
    <definedName name="_xlnm.Print_Area" localSheetId="2">'ЛАЙТ Рязань'!$A$1:$S$82</definedName>
    <definedName name="_xlnm.Print_Area" localSheetId="1">'ЛАЙТ Юрга'!$A$1:$S$82</definedName>
    <definedName name="_xlnm.Print_Area" localSheetId="23">'Лайт+АКУСТИК DDP'!$A$1:$T$80</definedName>
    <definedName name="_xlnm.Print_Area" localSheetId="12">'Плиты П'!$A$1:$Q$36</definedName>
    <definedName name="_xlnm.Print_Area" localSheetId="28">ПлитыП_DDP!$A$1:$Q$27</definedName>
    <definedName name="_xlnm.Print_Area" localSheetId="17">'ПОЛЫ Заинск'!$A$1:$T$59</definedName>
    <definedName name="_xlnm.Print_Area" localSheetId="6">'ПОЛЫ Рязань'!$A$1:$T$59</definedName>
    <definedName name="_xlnm.Print_Area" localSheetId="5">'ПОЛЫ Юрга'!$A$1:$T$59</definedName>
    <definedName name="_xlnm.Print_Area" localSheetId="27">ПолыDDP!$A$1:$T$55</definedName>
    <definedName name="_xlnm.Print_Area" localSheetId="20">'Рулонная изоляция'!$A$1:$N$18</definedName>
    <definedName name="_xlnm.Print_Area" localSheetId="30">'Рулонная изоляция DDP'!$A$1:$S$19</definedName>
    <definedName name="_xlnm.Print_Area" localSheetId="10">СЭНДВИЧ!$A$1:$S$31</definedName>
    <definedName name="_xlnm.Print_Area" localSheetId="36">'ТЕХНОРУФ КЛИН DDP'!$A$1:$M$29</definedName>
    <definedName name="_xlnm.Print_Area" localSheetId="33">'ТРУФ КЛИН ExW Заинск'!$A$1:$M$29</definedName>
    <definedName name="_xlnm.Print_Area" localSheetId="35">'ТРУФ КЛИН ExW Рязань'!$A$1:$M$29</definedName>
    <definedName name="_xlnm.Print_Area" localSheetId="34">'ТРУФ КЛИН ExW Юрга'!$A$1:$M$29</definedName>
    <definedName name="_xlnm.Print_Area" localSheetId="14">'ФАСАД Заинск'!$A$1:$S$104</definedName>
    <definedName name="_xlnm.Print_Area" localSheetId="4">'ФАСАД Рязань'!$A$1:$S$104</definedName>
    <definedName name="_xlnm.Print_Area" localSheetId="3">'ФАСАД Юрга'!$A$1:$S$104</definedName>
    <definedName name="_xlnm.Print_Area" localSheetId="24">ФасадDDP!$A$1:$T$104</definedName>
  </definedNames>
  <calcPr calcId="145621"/>
</workbook>
</file>

<file path=xl/calcChain.xml><?xml version="1.0" encoding="utf-8"?>
<calcChain xmlns="http://schemas.openxmlformats.org/spreadsheetml/2006/main">
  <c r="N112" i="64" l="1"/>
  <c r="N109" i="64"/>
  <c r="N96" i="64"/>
  <c r="N97" i="64" s="1"/>
  <c r="N98" i="64" s="1"/>
  <c r="N99" i="64" s="1"/>
  <c r="N100" i="64" s="1"/>
  <c r="N101" i="64" s="1"/>
  <c r="N102" i="64" s="1"/>
  <c r="N103" i="64" s="1"/>
  <c r="N104" i="64" s="1"/>
  <c r="N105" i="64" s="1"/>
  <c r="N106" i="64" s="1"/>
  <c r="N107" i="64" s="1"/>
  <c r="N108" i="64" s="1"/>
  <c r="N95" i="64"/>
  <c r="N93" i="64"/>
  <c r="N80" i="64"/>
  <c r="N81" i="64" s="1"/>
  <c r="N82" i="64" s="1"/>
  <c r="N83" i="64" s="1"/>
  <c r="N84" i="64" s="1"/>
  <c r="N85" i="64" s="1"/>
  <c r="N86" i="64" s="1"/>
  <c r="N87" i="64" s="1"/>
  <c r="N88" i="64" s="1"/>
  <c r="N89" i="64" s="1"/>
  <c r="N90" i="64" s="1"/>
  <c r="N91" i="64" s="1"/>
  <c r="N92" i="64" s="1"/>
  <c r="N79" i="64"/>
  <c r="C323" i="76"/>
  <c r="C322" i="76"/>
  <c r="C321" i="76"/>
  <c r="C320" i="76"/>
  <c r="C319" i="76"/>
  <c r="C310" i="76"/>
  <c r="C309" i="76"/>
  <c r="C308" i="76"/>
  <c r="C307" i="76"/>
  <c r="C306" i="76"/>
  <c r="C298" i="76"/>
  <c r="C297" i="76"/>
  <c r="C296" i="76"/>
  <c r="C295" i="76"/>
  <c r="C294" i="76"/>
  <c r="C286" i="76"/>
  <c r="C285" i="76"/>
  <c r="C284" i="76"/>
  <c r="C283" i="76"/>
  <c r="C282" i="76"/>
  <c r="C274" i="76"/>
  <c r="C273" i="76"/>
  <c r="C272" i="76"/>
  <c r="C271" i="76"/>
  <c r="C270" i="76"/>
  <c r="C262" i="76"/>
  <c r="C261" i="76"/>
  <c r="C260" i="76"/>
  <c r="C259" i="76"/>
  <c r="C258" i="76"/>
  <c r="C249" i="76"/>
  <c r="C248" i="76"/>
  <c r="C247" i="76"/>
  <c r="C246" i="76"/>
  <c r="C245" i="76"/>
  <c r="C236" i="76"/>
  <c r="C235" i="76"/>
  <c r="C234" i="76"/>
  <c r="C233" i="76"/>
  <c r="C232" i="76"/>
  <c r="C223" i="76"/>
  <c r="C222" i="76"/>
  <c r="C221" i="76"/>
  <c r="C220" i="76"/>
  <c r="C219" i="76"/>
  <c r="C210" i="76"/>
  <c r="C209" i="76"/>
  <c r="C208" i="76"/>
  <c r="C207" i="76"/>
  <c r="C206" i="76"/>
  <c r="C98" i="76"/>
  <c r="C97" i="76"/>
  <c r="C96" i="76"/>
  <c r="C95" i="76"/>
  <c r="C94" i="76"/>
  <c r="C86" i="76"/>
  <c r="C85" i="76"/>
  <c r="C84" i="76"/>
  <c r="C83" i="76"/>
  <c r="C82" i="76"/>
  <c r="C74" i="76"/>
  <c r="C73" i="76"/>
  <c r="C72" i="76"/>
  <c r="C71" i="76"/>
  <c r="C70" i="76"/>
  <c r="C62" i="76"/>
  <c r="C61" i="76"/>
  <c r="C60" i="76"/>
  <c r="C59" i="76"/>
  <c r="C58" i="76"/>
  <c r="C50" i="76"/>
  <c r="C49" i="76"/>
  <c r="C48" i="76"/>
  <c r="C47" i="76"/>
  <c r="C46" i="76"/>
  <c r="C38" i="76"/>
  <c r="C37" i="76"/>
  <c r="C36" i="76"/>
  <c r="C35" i="76"/>
  <c r="C34" i="76"/>
  <c r="C26" i="76"/>
  <c r="C25" i="76"/>
  <c r="C24" i="76"/>
  <c r="C23" i="76"/>
  <c r="C22" i="76"/>
  <c r="C14" i="76"/>
  <c r="C13" i="76"/>
  <c r="C12" i="76"/>
  <c r="C11" i="76"/>
  <c r="C10" i="76"/>
  <c r="N8" i="94" l="1"/>
  <c r="O114" i="64" l="1"/>
  <c r="N114" i="64"/>
  <c r="M114" i="64"/>
  <c r="I42" i="93" l="1"/>
  <c r="I31" i="93"/>
  <c r="I32" i="93"/>
  <c r="I33" i="93"/>
  <c r="I29" i="93"/>
  <c r="I26" i="93"/>
  <c r="I27" i="93"/>
  <c r="I13" i="93"/>
  <c r="I8" i="93"/>
  <c r="I49" i="92"/>
  <c r="I13" i="92"/>
  <c r="I72" i="91"/>
  <c r="I66" i="91"/>
  <c r="I67" i="91"/>
  <c r="I61" i="91"/>
  <c r="I56" i="91"/>
  <c r="I13" i="91"/>
  <c r="I46" i="98"/>
  <c r="I41" i="98"/>
  <c r="I35" i="98"/>
  <c r="I30" i="98"/>
  <c r="I19" i="98"/>
  <c r="I8" i="98"/>
  <c r="I48" i="98" l="1"/>
  <c r="I49" i="98"/>
  <c r="I50" i="98"/>
  <c r="I51" i="98"/>
  <c r="I47" i="98"/>
  <c r="I43" i="98"/>
  <c r="I44" i="98"/>
  <c r="I45" i="98"/>
  <c r="I42" i="98"/>
  <c r="I36" i="98"/>
  <c r="I37" i="98"/>
  <c r="I38" i="98"/>
  <c r="I39" i="98"/>
  <c r="I40" i="98"/>
  <c r="I32" i="98"/>
  <c r="I33" i="98"/>
  <c r="I34" i="98"/>
  <c r="I31" i="98"/>
  <c r="I21" i="98"/>
  <c r="I22" i="98"/>
  <c r="I23" i="98"/>
  <c r="I24" i="98"/>
  <c r="I25" i="98"/>
  <c r="I26" i="98"/>
  <c r="I27" i="98"/>
  <c r="I28" i="98"/>
  <c r="I29" i="98"/>
  <c r="I20" i="98"/>
  <c r="I11" i="98"/>
  <c r="I12" i="98"/>
  <c r="I13" i="98"/>
  <c r="I14" i="98"/>
  <c r="I15" i="98"/>
  <c r="I16" i="98"/>
  <c r="I17" i="98"/>
  <c r="I18" i="98"/>
  <c r="I10" i="98"/>
  <c r="I9" i="98"/>
  <c r="I43" i="93"/>
  <c r="I39" i="93"/>
  <c r="I35" i="93"/>
  <c r="I36" i="93"/>
  <c r="I37" i="93"/>
  <c r="I38" i="93"/>
  <c r="I34" i="93"/>
  <c r="I30" i="93"/>
  <c r="I28" i="93"/>
  <c r="I25" i="93"/>
  <c r="I24" i="93"/>
  <c r="I15" i="93"/>
  <c r="I16" i="93"/>
  <c r="I17" i="93"/>
  <c r="I18" i="93"/>
  <c r="I19" i="93"/>
  <c r="I20" i="93"/>
  <c r="I21" i="93"/>
  <c r="I22" i="93"/>
  <c r="I23" i="93"/>
  <c r="I14" i="93"/>
  <c r="I10" i="93"/>
  <c r="I11" i="93"/>
  <c r="I12" i="93"/>
  <c r="I9" i="93"/>
  <c r="I35" i="92"/>
  <c r="I36" i="92"/>
  <c r="I37" i="92"/>
  <c r="I38" i="92"/>
  <c r="I39" i="92"/>
  <c r="I40" i="92"/>
  <c r="I41" i="92"/>
  <c r="I42" i="92"/>
  <c r="I43" i="92"/>
  <c r="I44" i="92"/>
  <c r="I45" i="92"/>
  <c r="I46" i="92"/>
  <c r="I47" i="92"/>
  <c r="I34" i="92"/>
  <c r="I33" i="92"/>
  <c r="I24" i="92"/>
  <c r="I25" i="92"/>
  <c r="I26" i="92"/>
  <c r="I27" i="92"/>
  <c r="I28" i="92"/>
  <c r="I29" i="92"/>
  <c r="I30" i="92"/>
  <c r="I31" i="92"/>
  <c r="I32" i="92"/>
  <c r="I23" i="92"/>
  <c r="I22" i="92"/>
  <c r="I15" i="92"/>
  <c r="I16" i="92"/>
  <c r="I17" i="92"/>
  <c r="I18" i="92"/>
  <c r="I19" i="92"/>
  <c r="I20" i="92"/>
  <c r="I21" i="92"/>
  <c r="I14" i="92"/>
  <c r="I10" i="92"/>
  <c r="I11" i="92"/>
  <c r="I12" i="92"/>
  <c r="I9" i="92"/>
  <c r="I85" i="91"/>
  <c r="I86" i="91"/>
  <c r="I87" i="91"/>
  <c r="I88" i="91"/>
  <c r="I89" i="91"/>
  <c r="I90" i="91"/>
  <c r="I91" i="91"/>
  <c r="I92" i="91"/>
  <c r="I93" i="91"/>
  <c r="I84" i="91"/>
  <c r="I83" i="91"/>
  <c r="I74" i="91"/>
  <c r="I75" i="91"/>
  <c r="I76" i="91"/>
  <c r="I77" i="91"/>
  <c r="I78" i="91"/>
  <c r="I79" i="91"/>
  <c r="I80" i="91"/>
  <c r="I81" i="91"/>
  <c r="I82" i="91"/>
  <c r="I73" i="91"/>
  <c r="I69" i="91"/>
  <c r="I70" i="91"/>
  <c r="I71" i="91"/>
  <c r="I68" i="91"/>
  <c r="I58" i="91"/>
  <c r="I59" i="91"/>
  <c r="I60" i="91"/>
  <c r="I62" i="91"/>
  <c r="I63" i="91"/>
  <c r="I64" i="91"/>
  <c r="I65" i="91"/>
  <c r="I57" i="91"/>
  <c r="I51" i="91"/>
  <c r="I52" i="91"/>
  <c r="I53" i="91"/>
  <c r="I54" i="91"/>
  <c r="I55" i="91"/>
  <c r="I42" i="91"/>
  <c r="I43" i="91"/>
  <c r="I44" i="91"/>
  <c r="I45" i="91"/>
  <c r="I46" i="91"/>
  <c r="I47" i="91"/>
  <c r="I48" i="91"/>
  <c r="I49" i="91"/>
  <c r="I50" i="91"/>
  <c r="I41" i="91"/>
  <c r="I40" i="91"/>
  <c r="I26" i="91"/>
  <c r="I27" i="91"/>
  <c r="I28" i="91"/>
  <c r="I29" i="91"/>
  <c r="I30" i="91"/>
  <c r="I31" i="91"/>
  <c r="I32" i="91"/>
  <c r="I33" i="91"/>
  <c r="I34" i="91"/>
  <c r="I35" i="91"/>
  <c r="I36" i="91"/>
  <c r="I37" i="91"/>
  <c r="I38" i="91"/>
  <c r="I39" i="91"/>
  <c r="I25" i="91"/>
  <c r="I24" i="91"/>
  <c r="I15" i="91"/>
  <c r="I16" i="91"/>
  <c r="I17" i="91"/>
  <c r="I18" i="91"/>
  <c r="I19" i="91"/>
  <c r="I20" i="91"/>
  <c r="I21" i="91"/>
  <c r="I22" i="91"/>
  <c r="I23" i="91"/>
  <c r="I14" i="91"/>
  <c r="I10" i="91"/>
  <c r="I11" i="91"/>
  <c r="I12" i="91"/>
  <c r="I9" i="91"/>
  <c r="K17" i="95" l="1"/>
  <c r="J17" i="95" l="1"/>
  <c r="C517" i="76" l="1"/>
  <c r="C516" i="76"/>
  <c r="C515" i="76"/>
  <c r="C514" i="76"/>
  <c r="C513" i="76"/>
  <c r="C505" i="76"/>
  <c r="C504" i="76"/>
  <c r="C503" i="76"/>
  <c r="C502" i="76"/>
  <c r="C501" i="76"/>
  <c r="C493" i="76"/>
  <c r="C492" i="76"/>
  <c r="C491" i="76"/>
  <c r="C490" i="76"/>
  <c r="C489" i="76"/>
  <c r="C481" i="76"/>
  <c r="C480" i="76"/>
  <c r="C479" i="76"/>
  <c r="C478" i="76"/>
  <c r="C477" i="76"/>
  <c r="C469" i="76"/>
  <c r="C468" i="76"/>
  <c r="C467" i="76"/>
  <c r="C466" i="76"/>
  <c r="C465" i="76"/>
  <c r="C457" i="76"/>
  <c r="C456" i="76"/>
  <c r="C455" i="76"/>
  <c r="C454" i="76"/>
  <c r="C453" i="76"/>
  <c r="C445" i="76"/>
  <c r="C444" i="76"/>
  <c r="C443" i="76"/>
  <c r="C442" i="76"/>
  <c r="C441" i="76"/>
  <c r="C433" i="76"/>
  <c r="C432" i="76"/>
  <c r="C431" i="76"/>
  <c r="C430" i="76"/>
  <c r="C429" i="76"/>
  <c r="C421" i="76"/>
  <c r="C420" i="76"/>
  <c r="C419" i="76"/>
  <c r="C418" i="76"/>
  <c r="C417" i="76"/>
  <c r="I48" i="92" l="1"/>
  <c r="R49" i="92" l="1"/>
  <c r="R35" i="92"/>
  <c r="R36" i="92"/>
  <c r="R37" i="92" s="1"/>
  <c r="R38" i="92" s="1"/>
  <c r="R34" i="92"/>
  <c r="R21" i="92"/>
  <c r="R10" i="92"/>
  <c r="R11" i="92" s="1"/>
  <c r="R12" i="92" s="1"/>
  <c r="R13" i="92" s="1"/>
  <c r="R14" i="92" s="1"/>
  <c r="R15" i="92" s="1"/>
  <c r="R16" i="92" s="1"/>
  <c r="R17" i="92" s="1"/>
  <c r="R18" i="92" s="1"/>
  <c r="R19" i="92" s="1"/>
  <c r="R20" i="92" s="1"/>
  <c r="R9" i="92"/>
  <c r="R79" i="91"/>
  <c r="R69" i="91"/>
  <c r="R70" i="91" s="1"/>
  <c r="R71" i="91" s="1"/>
  <c r="R72" i="91" s="1"/>
  <c r="R73" i="91" s="1"/>
  <c r="R74" i="91" s="1"/>
  <c r="R75" i="91" s="1"/>
  <c r="R76" i="91" s="1"/>
  <c r="R77" i="91" s="1"/>
  <c r="R78" i="91" s="1"/>
  <c r="R68" i="91"/>
  <c r="R66" i="91"/>
  <c r="R58" i="91"/>
  <c r="R59" i="91"/>
  <c r="R60" i="91" s="1"/>
  <c r="R61" i="91" s="1"/>
  <c r="R62" i="91" s="1"/>
  <c r="R63" i="91" s="1"/>
  <c r="R64" i="91" s="1"/>
  <c r="R65" i="91" s="1"/>
  <c r="R57" i="91"/>
  <c r="R26" i="91"/>
  <c r="R27" i="91" s="1"/>
  <c r="R28" i="91" s="1"/>
  <c r="R29" i="91" s="1"/>
  <c r="R30" i="91" s="1"/>
  <c r="R31" i="91" s="1"/>
  <c r="R32" i="91" s="1"/>
  <c r="R33" i="91" s="1"/>
  <c r="R34" i="91" s="1"/>
  <c r="R25" i="91"/>
  <c r="R10" i="91"/>
  <c r="R11" i="91" s="1"/>
  <c r="R12" i="91" s="1"/>
  <c r="R13" i="91" s="1"/>
  <c r="R14" i="91" s="1"/>
  <c r="R15" i="91" s="1"/>
  <c r="R16" i="91" s="1"/>
  <c r="R17" i="91" s="1"/>
  <c r="R18" i="91" s="1"/>
  <c r="R9" i="91"/>
  <c r="I49" i="44" l="1"/>
  <c r="I48" i="44"/>
  <c r="I82" i="43"/>
  <c r="I74" i="43"/>
  <c r="I75" i="43"/>
  <c r="I76" i="43"/>
  <c r="I77" i="43"/>
  <c r="I78" i="43"/>
  <c r="I79" i="43"/>
  <c r="I80" i="43"/>
  <c r="I81" i="43"/>
  <c r="I73" i="43"/>
  <c r="I69" i="43"/>
  <c r="I70" i="43"/>
  <c r="I71" i="43"/>
  <c r="I68" i="43"/>
  <c r="I40" i="93" l="1"/>
  <c r="I41" i="93"/>
  <c r="I43" i="80"/>
  <c r="I42" i="80"/>
  <c r="I40" i="80"/>
  <c r="I41" i="80"/>
  <c r="I25" i="80"/>
  <c r="I26" i="80"/>
  <c r="I27" i="80"/>
  <c r="I28" i="80"/>
  <c r="I29" i="80"/>
  <c r="I30" i="80"/>
  <c r="I31" i="80"/>
  <c r="I32" i="80"/>
  <c r="I33" i="80"/>
  <c r="I34" i="80"/>
  <c r="I35" i="80"/>
  <c r="I36" i="80"/>
  <c r="I37" i="80"/>
  <c r="I38" i="80"/>
  <c r="I39" i="80"/>
  <c r="I24" i="80"/>
  <c r="I10" i="80"/>
  <c r="I11" i="80"/>
  <c r="I12" i="80"/>
  <c r="I13" i="80"/>
  <c r="I14" i="80"/>
  <c r="I15" i="80"/>
  <c r="I16" i="80"/>
  <c r="I17" i="80"/>
  <c r="I18" i="80"/>
  <c r="I19" i="80"/>
  <c r="I20" i="80"/>
  <c r="I21" i="80"/>
  <c r="I22" i="80"/>
  <c r="I23" i="80"/>
  <c r="I9" i="80"/>
  <c r="I8" i="80"/>
  <c r="I8" i="92"/>
  <c r="I67" i="43"/>
  <c r="I72" i="43"/>
  <c r="I57" i="43"/>
  <c r="I58" i="43"/>
  <c r="I59" i="43"/>
  <c r="I60" i="43"/>
  <c r="I61" i="43"/>
  <c r="I62" i="43"/>
  <c r="I63" i="43"/>
  <c r="I64" i="43"/>
  <c r="I65" i="43"/>
  <c r="I66" i="43"/>
  <c r="I56" i="43"/>
  <c r="I8" i="91"/>
  <c r="I41" i="44"/>
  <c r="I42" i="44"/>
  <c r="I43" i="44"/>
  <c r="I44" i="44"/>
  <c r="I45" i="44"/>
  <c r="I46" i="44"/>
  <c r="I47" i="44"/>
  <c r="I34" i="44"/>
  <c r="I35" i="44"/>
  <c r="I36" i="44"/>
  <c r="I37" i="44"/>
  <c r="I38" i="44"/>
  <c r="I39" i="44"/>
  <c r="I40" i="44"/>
  <c r="I33" i="44"/>
  <c r="I22" i="44"/>
  <c r="I23" i="44"/>
  <c r="I24" i="44"/>
  <c r="I25" i="44"/>
  <c r="I26" i="44"/>
  <c r="I27" i="44"/>
  <c r="I28" i="44"/>
  <c r="I29" i="44"/>
  <c r="I30" i="44"/>
  <c r="I31" i="44"/>
  <c r="I32" i="44"/>
  <c r="I11" i="44"/>
  <c r="I12" i="44"/>
  <c r="I13" i="44"/>
  <c r="I14" i="44"/>
  <c r="I15" i="44"/>
  <c r="I16" i="44"/>
  <c r="I17" i="44"/>
  <c r="I18" i="44"/>
  <c r="I19" i="44"/>
  <c r="I20" i="44"/>
  <c r="I21" i="44"/>
  <c r="I9" i="44"/>
  <c r="I10" i="44"/>
  <c r="I8" i="44"/>
  <c r="I84" i="43"/>
  <c r="I85" i="43"/>
  <c r="I86" i="43"/>
  <c r="I87" i="43"/>
  <c r="I88" i="43"/>
  <c r="I89" i="43"/>
  <c r="I90" i="43"/>
  <c r="I91" i="43"/>
  <c r="I92" i="43"/>
  <c r="I93" i="43"/>
  <c r="I83" i="43"/>
  <c r="I41" i="43"/>
  <c r="I42" i="43"/>
  <c r="I43" i="43"/>
  <c r="I45" i="43"/>
  <c r="I46" i="43"/>
  <c r="I47" i="43"/>
  <c r="I48" i="43"/>
  <c r="I49" i="43"/>
  <c r="I50" i="43"/>
  <c r="I51" i="43"/>
  <c r="I52" i="43"/>
  <c r="I53" i="43"/>
  <c r="I54" i="43"/>
  <c r="I55" i="43"/>
  <c r="I40" i="43"/>
  <c r="I25" i="43"/>
  <c r="I26" i="43"/>
  <c r="I27" i="43"/>
  <c r="I28" i="43"/>
  <c r="I29" i="43"/>
  <c r="I30" i="43"/>
  <c r="I31" i="43"/>
  <c r="I32" i="43"/>
  <c r="I33" i="43"/>
  <c r="I34" i="43"/>
  <c r="I35" i="43"/>
  <c r="I36" i="43"/>
  <c r="I37" i="43"/>
  <c r="I38" i="43"/>
  <c r="I39" i="43"/>
  <c r="I24" i="43"/>
  <c r="I10" i="43"/>
  <c r="I11" i="43"/>
  <c r="I12" i="43"/>
  <c r="I13" i="43"/>
  <c r="I14" i="43"/>
  <c r="I15" i="43"/>
  <c r="I16" i="43"/>
  <c r="I17" i="43"/>
  <c r="I18" i="43"/>
  <c r="I19" i="43"/>
  <c r="I20" i="43"/>
  <c r="I21" i="43"/>
  <c r="I22" i="43"/>
  <c r="I23" i="43"/>
  <c r="I9" i="43"/>
  <c r="I8" i="43"/>
  <c r="W2" i="80" l="1"/>
  <c r="W3" i="80"/>
  <c r="W5" i="80" l="1"/>
  <c r="K317" i="76"/>
  <c r="K321" i="76" s="1"/>
  <c r="K318" i="76" l="1"/>
  <c r="K319" i="76"/>
  <c r="K322" i="76" s="1"/>
  <c r="K323" i="76" s="1"/>
  <c r="K320" i="76" l="1"/>
  <c r="C135" i="76"/>
  <c r="C134" i="76"/>
  <c r="C133" i="76"/>
  <c r="C132" i="76"/>
  <c r="C131" i="76"/>
  <c r="N10" i="64"/>
  <c r="R22" i="81" l="1"/>
  <c r="L16" i="69"/>
  <c r="M16" i="69" s="1"/>
  <c r="R17" i="81"/>
  <c r="O16" i="69" l="1"/>
  <c r="P16" i="69" l="1"/>
  <c r="G16" i="90"/>
  <c r="G16" i="30"/>
  <c r="O113" i="64"/>
  <c r="N113" i="64"/>
  <c r="M113" i="64"/>
  <c r="R71" i="30" l="1"/>
  <c r="R23" i="83" l="1"/>
  <c r="R24" i="83" s="1"/>
  <c r="S22" i="83"/>
  <c r="Q22" i="83"/>
  <c r="S22" i="92"/>
  <c r="Q22" i="92"/>
  <c r="S32" i="44"/>
  <c r="Q32" i="44"/>
  <c r="S31" i="44"/>
  <c r="Q31" i="44"/>
  <c r="S30" i="44"/>
  <c r="Q30" i="44"/>
  <c r="S29" i="44"/>
  <c r="Q29" i="44"/>
  <c r="S28" i="44"/>
  <c r="Q28" i="44"/>
  <c r="S27" i="44"/>
  <c r="Q27" i="44"/>
  <c r="S26" i="44"/>
  <c r="Q26" i="44"/>
  <c r="S25" i="44"/>
  <c r="Q25" i="44"/>
  <c r="S24" i="44"/>
  <c r="Q24" i="44"/>
  <c r="S23" i="44"/>
  <c r="Q23" i="44"/>
  <c r="S22" i="44"/>
  <c r="Q22" i="44"/>
  <c r="M32" i="71"/>
  <c r="L32" i="71"/>
  <c r="L31" i="71"/>
  <c r="M31" i="71" s="1"/>
  <c r="L30" i="71"/>
  <c r="M30" i="71" s="1"/>
  <c r="M29" i="71"/>
  <c r="L29" i="71"/>
  <c r="L28" i="71"/>
  <c r="M28" i="71" s="1"/>
  <c r="L27" i="71"/>
  <c r="M27" i="71" s="1"/>
  <c r="L26" i="71"/>
  <c r="M26" i="71" s="1"/>
  <c r="L25" i="71"/>
  <c r="M25" i="71" s="1"/>
  <c r="L24" i="71"/>
  <c r="M24" i="71" s="1"/>
  <c r="L23" i="71"/>
  <c r="M23" i="71" s="1"/>
  <c r="L22" i="71"/>
  <c r="M22" i="71" s="1"/>
  <c r="R25" i="83" l="1"/>
  <c r="S24" i="83"/>
  <c r="Q24" i="83"/>
  <c r="Q23" i="83"/>
  <c r="S23" i="83"/>
  <c r="S24" i="92"/>
  <c r="Q24" i="92"/>
  <c r="Q23" i="92"/>
  <c r="S23" i="92"/>
  <c r="O24" i="71"/>
  <c r="P24" i="71" s="1"/>
  <c r="O25" i="71"/>
  <c r="P25" i="71" s="1"/>
  <c r="O28" i="71"/>
  <c r="P28" i="71" s="1"/>
  <c r="O30" i="71"/>
  <c r="P30" i="71" s="1"/>
  <c r="O22" i="71"/>
  <c r="P22" i="71" s="1"/>
  <c r="O23" i="71"/>
  <c r="P23" i="71" s="1"/>
  <c r="O26" i="71"/>
  <c r="P26" i="71" s="1"/>
  <c r="O27" i="71"/>
  <c r="P27" i="71" s="1"/>
  <c r="O29" i="71"/>
  <c r="P29" i="71" s="1"/>
  <c r="O31" i="71"/>
  <c r="P31" i="71" s="1"/>
  <c r="O32" i="71"/>
  <c r="P32" i="71" s="1"/>
  <c r="T24" i="88"/>
  <c r="L24" i="88"/>
  <c r="M24" i="88" s="1"/>
  <c r="R24" i="88" s="1"/>
  <c r="P24" i="93"/>
  <c r="O24" i="93"/>
  <c r="M24" i="93"/>
  <c r="R24" i="93" s="1"/>
  <c r="L24" i="93"/>
  <c r="T24" i="93"/>
  <c r="L26" i="79"/>
  <c r="M26" i="79" s="1"/>
  <c r="R26" i="83" l="1"/>
  <c r="S25" i="83"/>
  <c r="Q25" i="83"/>
  <c r="S25" i="92"/>
  <c r="Q25" i="92"/>
  <c r="O24" i="88"/>
  <c r="P24" i="88" s="1"/>
  <c r="O26" i="79"/>
  <c r="P26" i="79" s="1"/>
  <c r="T24" i="80"/>
  <c r="L24" i="80"/>
  <c r="M24" i="80" s="1"/>
  <c r="R27" i="83" l="1"/>
  <c r="S26" i="83"/>
  <c r="Q26" i="83"/>
  <c r="S26" i="92"/>
  <c r="Q26" i="92"/>
  <c r="R24" i="80"/>
  <c r="O24" i="80"/>
  <c r="P24" i="80" s="1"/>
  <c r="A5" i="69"/>
  <c r="A5" i="70" s="1"/>
  <c r="A5" i="71" s="1"/>
  <c r="A5" i="79" s="1"/>
  <c r="A5" i="87" s="1"/>
  <c r="A6" i="95" s="1"/>
  <c r="L6" i="94"/>
  <c r="L1" i="64"/>
  <c r="O1" i="64"/>
  <c r="N1" i="64"/>
  <c r="M1" i="64"/>
  <c r="S5" i="80"/>
  <c r="T5" i="80"/>
  <c r="Q5" i="44"/>
  <c r="S5" i="44"/>
  <c r="R5" i="44"/>
  <c r="Q5" i="43"/>
  <c r="S5" i="43"/>
  <c r="R5" i="43"/>
  <c r="S5" i="30"/>
  <c r="R5" i="30"/>
  <c r="O5" i="30"/>
  <c r="R5" i="98"/>
  <c r="W2" i="98"/>
  <c r="W3" i="98"/>
  <c r="S5" i="98" l="1"/>
  <c r="R5" i="80"/>
  <c r="R28" i="83"/>
  <c r="S27" i="83"/>
  <c r="Q27" i="83"/>
  <c r="S27" i="92"/>
  <c r="Q27" i="92"/>
  <c r="W5" i="98"/>
  <c r="O3" i="94"/>
  <c r="O2" i="94"/>
  <c r="O6" i="85"/>
  <c r="O5" i="85"/>
  <c r="O4" i="85"/>
  <c r="Q3" i="85"/>
  <c r="Q2" i="85"/>
  <c r="U3" i="64"/>
  <c r="U2" i="64"/>
  <c r="V3" i="44"/>
  <c r="V2" i="44"/>
  <c r="V3" i="43"/>
  <c r="V2" i="43"/>
  <c r="T7" i="30"/>
  <c r="V5" i="30"/>
  <c r="A78" i="69" l="1"/>
  <c r="A26" i="95" s="1"/>
  <c r="I16" i="69"/>
  <c r="U6" i="80"/>
  <c r="F16" i="69"/>
  <c r="R29" i="83"/>
  <c r="S28" i="83"/>
  <c r="Q28" i="83"/>
  <c r="S28" i="92"/>
  <c r="Q28" i="92"/>
  <c r="O5" i="94"/>
  <c r="Q5" i="85"/>
  <c r="U5" i="64"/>
  <c r="V5" i="44"/>
  <c r="V5" i="43"/>
  <c r="K230" i="76"/>
  <c r="I42" i="79" l="1"/>
  <c r="A52" i="79"/>
  <c r="A18" i="87"/>
  <c r="A101" i="70"/>
  <c r="A58" i="71"/>
  <c r="I40" i="79"/>
  <c r="I39" i="79"/>
  <c r="I37" i="79"/>
  <c r="I35" i="79"/>
  <c r="I33" i="79"/>
  <c r="I31" i="79"/>
  <c r="I29" i="79"/>
  <c r="I27" i="79"/>
  <c r="I25" i="79"/>
  <c r="I10" i="79"/>
  <c r="I12" i="79"/>
  <c r="I14" i="79"/>
  <c r="I16" i="79"/>
  <c r="I18" i="79"/>
  <c r="I20" i="79"/>
  <c r="I22" i="79"/>
  <c r="I9" i="79"/>
  <c r="I41" i="79"/>
  <c r="I43" i="79"/>
  <c r="I38" i="79"/>
  <c r="I36" i="79"/>
  <c r="I34" i="79"/>
  <c r="I32" i="79"/>
  <c r="I30" i="79"/>
  <c r="I28" i="79"/>
  <c r="I26" i="79"/>
  <c r="I24" i="79"/>
  <c r="I11" i="79"/>
  <c r="I13" i="79"/>
  <c r="I15" i="79"/>
  <c r="I17" i="79"/>
  <c r="I19" i="79"/>
  <c r="I21" i="79"/>
  <c r="I23" i="79"/>
  <c r="I8" i="79"/>
  <c r="K234" i="76"/>
  <c r="K231" i="76"/>
  <c r="R30" i="83"/>
  <c r="S29" i="83"/>
  <c r="Q29" i="83"/>
  <c r="S29" i="92"/>
  <c r="Q29" i="92"/>
  <c r="K232" i="76"/>
  <c r="C405" i="76"/>
  <c r="C393" i="76"/>
  <c r="C381" i="76"/>
  <c r="C369" i="76"/>
  <c r="C357" i="76"/>
  <c r="C345" i="76"/>
  <c r="C333" i="76"/>
  <c r="K252" i="76"/>
  <c r="C192" i="76"/>
  <c r="C180" i="76"/>
  <c r="C168" i="76"/>
  <c r="C156" i="76"/>
  <c r="C144" i="76"/>
  <c r="C120" i="76"/>
  <c r="C119" i="76"/>
  <c r="C108" i="76"/>
  <c r="R31" i="83" l="1"/>
  <c r="S30" i="83"/>
  <c r="Q30" i="83"/>
  <c r="S30" i="92"/>
  <c r="Q30" i="92"/>
  <c r="K235" i="76"/>
  <c r="K236" i="76" s="1"/>
  <c r="K233" i="76"/>
  <c r="I16" i="95"/>
  <c r="K16" i="95" s="1"/>
  <c r="I17" i="95"/>
  <c r="I18" i="95"/>
  <c r="K18" i="95" s="1"/>
  <c r="I15" i="95"/>
  <c r="K15" i="95" s="1"/>
  <c r="I14" i="95"/>
  <c r="K14" i="95" s="1"/>
  <c r="I13" i="95"/>
  <c r="K13" i="95" s="1"/>
  <c r="I12" i="95"/>
  <c r="K12" i="95" s="1"/>
  <c r="I11" i="95"/>
  <c r="K11" i="95" s="1"/>
  <c r="I10" i="95"/>
  <c r="K10" i="95" s="1"/>
  <c r="I9" i="95"/>
  <c r="K9" i="95" s="1"/>
  <c r="R32" i="83" l="1"/>
  <c r="S31" i="83"/>
  <c r="Q31" i="83"/>
  <c r="S31" i="92"/>
  <c r="Q31" i="92"/>
  <c r="J9" i="95"/>
  <c r="J18" i="95"/>
  <c r="J16" i="95"/>
  <c r="J14" i="95"/>
  <c r="J12" i="95"/>
  <c r="J10" i="95"/>
  <c r="J15" i="95"/>
  <c r="J13" i="95"/>
  <c r="J11" i="95"/>
  <c r="M11" i="99"/>
  <c r="M10" i="99"/>
  <c r="M9" i="99"/>
  <c r="M18" i="99"/>
  <c r="M17" i="99"/>
  <c r="M16" i="99"/>
  <c r="M15" i="99"/>
  <c r="L69" i="69"/>
  <c r="M69" i="69" s="1"/>
  <c r="S69" i="90"/>
  <c r="K69" i="90"/>
  <c r="L69" i="90" s="1"/>
  <c r="S69" i="81"/>
  <c r="K69" i="81"/>
  <c r="L69" i="81" s="1"/>
  <c r="Q69" i="81" s="1"/>
  <c r="K69" i="30"/>
  <c r="L69" i="30" s="1"/>
  <c r="N69" i="30" s="1"/>
  <c r="O69" i="30" s="1"/>
  <c r="S68" i="30"/>
  <c r="Q68" i="30"/>
  <c r="Q48" i="44"/>
  <c r="S32" i="83" l="1"/>
  <c r="Q32" i="83"/>
  <c r="S32" i="92"/>
  <c r="Q32" i="92"/>
  <c r="O69" i="69"/>
  <c r="Q69" i="90"/>
  <c r="N69" i="90"/>
  <c r="O69" i="90" s="1"/>
  <c r="N69" i="81"/>
  <c r="O69" i="81" s="1"/>
  <c r="P69" i="69" l="1"/>
  <c r="G69" i="30"/>
  <c r="I69" i="69" s="1"/>
  <c r="G69" i="90"/>
  <c r="M9" i="85"/>
  <c r="N9" i="85" s="1"/>
  <c r="N8" i="85"/>
  <c r="L8" i="85"/>
  <c r="L9" i="87"/>
  <c r="M9" i="87" s="1"/>
  <c r="L8" i="87"/>
  <c r="M8" i="87" s="1"/>
  <c r="S34" i="44"/>
  <c r="Q34" i="44"/>
  <c r="L34" i="71"/>
  <c r="M34" i="71" s="1"/>
  <c r="L57" i="70"/>
  <c r="M57" i="70" s="1"/>
  <c r="L59" i="69"/>
  <c r="M59" i="69" s="1"/>
  <c r="L57" i="69"/>
  <c r="M57" i="69" s="1"/>
  <c r="L40" i="69"/>
  <c r="M40" i="69" s="1"/>
  <c r="L9" i="85" l="1"/>
  <c r="O34" i="71"/>
  <c r="P34" i="71" s="1"/>
  <c r="O57" i="70"/>
  <c r="P57" i="70" s="1"/>
  <c r="O59" i="69"/>
  <c r="O57" i="69"/>
  <c r="O40" i="69"/>
  <c r="P40" i="69" l="1"/>
  <c r="H40" i="90"/>
  <c r="G40" i="90" s="1"/>
  <c r="H40" i="30"/>
  <c r="G40" i="30" s="1"/>
  <c r="I40" i="69" s="1"/>
  <c r="P59" i="69"/>
  <c r="H59" i="90"/>
  <c r="G59" i="90" s="1"/>
  <c r="H59" i="30"/>
  <c r="G59" i="30" s="1"/>
  <c r="I59" i="69" s="1"/>
  <c r="P57" i="69"/>
  <c r="H57" i="90"/>
  <c r="G57" i="90" s="1"/>
  <c r="H57" i="30"/>
  <c r="G57" i="30" s="1"/>
  <c r="I57" i="69" s="1"/>
  <c r="S24" i="30"/>
  <c r="Q24" i="30"/>
  <c r="L24" i="69"/>
  <c r="M24" i="69" s="1"/>
  <c r="O24" i="69" l="1"/>
  <c r="P24" i="69" l="1"/>
  <c r="H24" i="90"/>
  <c r="G24" i="90" s="1"/>
  <c r="H24" i="30"/>
  <c r="G24" i="30" s="1"/>
  <c r="I24" i="69" s="1"/>
  <c r="L54" i="98"/>
  <c r="M54" i="98" s="1"/>
  <c r="L53" i="98"/>
  <c r="M53" i="98" s="1"/>
  <c r="L52" i="98"/>
  <c r="M52" i="98" s="1"/>
  <c r="L51" i="98"/>
  <c r="M51" i="98" s="1"/>
  <c r="L50" i="98"/>
  <c r="M50" i="98" s="1"/>
  <c r="L49" i="98"/>
  <c r="M49" i="98" s="1"/>
  <c r="L48" i="98"/>
  <c r="M48" i="98" s="1"/>
  <c r="L47" i="98"/>
  <c r="M47" i="98" s="1"/>
  <c r="L46" i="98"/>
  <c r="M46" i="98" s="1"/>
  <c r="L45" i="98"/>
  <c r="M45" i="98" s="1"/>
  <c r="L44" i="98"/>
  <c r="M44" i="98" s="1"/>
  <c r="L43" i="98"/>
  <c r="M43" i="98" s="1"/>
  <c r="L42" i="98"/>
  <c r="M42" i="98" s="1"/>
  <c r="L41" i="98"/>
  <c r="M41" i="98" s="1"/>
  <c r="L40" i="98"/>
  <c r="M40" i="98" s="1"/>
  <c r="L39" i="98"/>
  <c r="M39" i="98" s="1"/>
  <c r="L38" i="98"/>
  <c r="M38" i="98" s="1"/>
  <c r="L37" i="98"/>
  <c r="M37" i="98" s="1"/>
  <c r="L36" i="98"/>
  <c r="M36" i="98" s="1"/>
  <c r="L35" i="98"/>
  <c r="M35" i="98" s="1"/>
  <c r="L34" i="98"/>
  <c r="M34" i="98" s="1"/>
  <c r="L33" i="98"/>
  <c r="M33" i="98" s="1"/>
  <c r="L32" i="98"/>
  <c r="M32" i="98" s="1"/>
  <c r="L31" i="98"/>
  <c r="M31" i="98" s="1"/>
  <c r="L30" i="98"/>
  <c r="M30" i="98" s="1"/>
  <c r="L29" i="98"/>
  <c r="M29" i="98" s="1"/>
  <c r="L28" i="98"/>
  <c r="M28" i="98" s="1"/>
  <c r="L27" i="98"/>
  <c r="M27" i="98" s="1"/>
  <c r="L26" i="98"/>
  <c r="M26" i="98" s="1"/>
  <c r="L25" i="98"/>
  <c r="M25" i="98" s="1"/>
  <c r="L24" i="98"/>
  <c r="M24" i="98" s="1"/>
  <c r="L23" i="98"/>
  <c r="M23" i="98" s="1"/>
  <c r="L22" i="98"/>
  <c r="M22" i="98" s="1"/>
  <c r="L21" i="98"/>
  <c r="M21" i="98" s="1"/>
  <c r="L20" i="98"/>
  <c r="M20" i="98" s="1"/>
  <c r="L19" i="98"/>
  <c r="M19" i="98" s="1"/>
  <c r="L18" i="98"/>
  <c r="M18" i="98" s="1"/>
  <c r="L17" i="98"/>
  <c r="M17" i="98" s="1"/>
  <c r="L16" i="98"/>
  <c r="M16" i="98" s="1"/>
  <c r="L15" i="98"/>
  <c r="M15" i="98" s="1"/>
  <c r="L14" i="98"/>
  <c r="M14" i="98" s="1"/>
  <c r="L13" i="98"/>
  <c r="M13" i="98" s="1"/>
  <c r="L12" i="98"/>
  <c r="M12" i="98" s="1"/>
  <c r="L11" i="98"/>
  <c r="M11" i="98" s="1"/>
  <c r="L10" i="98"/>
  <c r="M10" i="98" s="1"/>
  <c r="L9" i="98"/>
  <c r="M9" i="98" s="1"/>
  <c r="L8" i="98"/>
  <c r="M8" i="98" s="1"/>
  <c r="M18" i="96"/>
  <c r="M17" i="96"/>
  <c r="M16" i="96"/>
  <c r="M15" i="96"/>
  <c r="M14" i="96"/>
  <c r="M13" i="96"/>
  <c r="M12" i="96"/>
  <c r="A3" i="95"/>
  <c r="O7" i="94" s="1"/>
  <c r="O10" i="94" l="1"/>
  <c r="L10" i="95" s="1"/>
  <c r="O12" i="94"/>
  <c r="L12" i="95" s="1"/>
  <c r="O14" i="94"/>
  <c r="L14" i="95" s="1"/>
  <c r="O16" i="94"/>
  <c r="L16" i="95" s="1"/>
  <c r="O18" i="94"/>
  <c r="L18" i="95" s="1"/>
  <c r="O11" i="94"/>
  <c r="L11" i="95" s="1"/>
  <c r="O13" i="94"/>
  <c r="L13" i="95" s="1"/>
  <c r="O15" i="94"/>
  <c r="L15" i="95" s="1"/>
  <c r="O17" i="94"/>
  <c r="L17" i="95" s="1"/>
  <c r="O9" i="94"/>
  <c r="L9" i="95" s="1"/>
  <c r="U7" i="98"/>
  <c r="B3" i="95"/>
  <c r="W7" i="98"/>
  <c r="O50" i="98"/>
  <c r="P50" i="98" s="1"/>
  <c r="O53" i="98"/>
  <c r="P53" i="98" s="1"/>
  <c r="O49" i="98"/>
  <c r="P49" i="98" s="1"/>
  <c r="O51" i="98"/>
  <c r="P51" i="98" s="1"/>
  <c r="O52" i="98"/>
  <c r="P52" i="98" s="1"/>
  <c r="O54" i="98"/>
  <c r="P54" i="98" s="1"/>
  <c r="T8" i="98"/>
  <c r="T9" i="98"/>
  <c r="T10" i="98"/>
  <c r="T11" i="98"/>
  <c r="T13" i="98"/>
  <c r="T14" i="98"/>
  <c r="T15" i="98"/>
  <c r="T22" i="98"/>
  <c r="T23" i="98"/>
  <c r="O8" i="98"/>
  <c r="P8" i="98" s="1"/>
  <c r="O9" i="98"/>
  <c r="P9" i="98" s="1"/>
  <c r="O10" i="98"/>
  <c r="P10" i="98" s="1"/>
  <c r="O11" i="98"/>
  <c r="P11" i="98" s="1"/>
  <c r="O12" i="98"/>
  <c r="P12" i="98" s="1"/>
  <c r="O13" i="98"/>
  <c r="P13" i="98" s="1"/>
  <c r="O14" i="98"/>
  <c r="P14" i="98" s="1"/>
  <c r="O15" i="98"/>
  <c r="P15" i="98" s="1"/>
  <c r="O16" i="98"/>
  <c r="P16" i="98" s="1"/>
  <c r="O17" i="98"/>
  <c r="P17" i="98" s="1"/>
  <c r="O18" i="98"/>
  <c r="P18" i="98" s="1"/>
  <c r="O19" i="98"/>
  <c r="P19" i="98" s="1"/>
  <c r="O20" i="98"/>
  <c r="P20" i="98" s="1"/>
  <c r="O21" i="98"/>
  <c r="P21" i="98" s="1"/>
  <c r="O22" i="98"/>
  <c r="P22" i="98" s="1"/>
  <c r="O23" i="98"/>
  <c r="P23" i="98" s="1"/>
  <c r="O24" i="98"/>
  <c r="P24" i="98" s="1"/>
  <c r="O25" i="98"/>
  <c r="P25" i="98" s="1"/>
  <c r="O26" i="98"/>
  <c r="P26" i="98" s="1"/>
  <c r="O27" i="98"/>
  <c r="P27" i="98" s="1"/>
  <c r="O28" i="98"/>
  <c r="P28" i="98" s="1"/>
  <c r="O29" i="98"/>
  <c r="P29" i="98" s="1"/>
  <c r="O30" i="98"/>
  <c r="P30" i="98" s="1"/>
  <c r="O31" i="98"/>
  <c r="P31" i="98" s="1"/>
  <c r="O32" i="98"/>
  <c r="P32" i="98" s="1"/>
  <c r="O33" i="98"/>
  <c r="P33" i="98" s="1"/>
  <c r="O34" i="98"/>
  <c r="P34" i="98" s="1"/>
  <c r="O35" i="98"/>
  <c r="P35" i="98" s="1"/>
  <c r="O36" i="98"/>
  <c r="P36" i="98" s="1"/>
  <c r="O37" i="98"/>
  <c r="P37" i="98" s="1"/>
  <c r="O38" i="98"/>
  <c r="P38" i="98" s="1"/>
  <c r="O39" i="98"/>
  <c r="P39" i="98" s="1"/>
  <c r="O40" i="98"/>
  <c r="P40" i="98" s="1"/>
  <c r="O41" i="98"/>
  <c r="P41" i="98" s="1"/>
  <c r="O42" i="98"/>
  <c r="P42" i="98" s="1"/>
  <c r="O43" i="98"/>
  <c r="P43" i="98" s="1"/>
  <c r="O44" i="98"/>
  <c r="P44" i="98" s="1"/>
  <c r="O45" i="98"/>
  <c r="P45" i="98" s="1"/>
  <c r="O46" i="98"/>
  <c r="P46" i="98" s="1"/>
  <c r="O47" i="98"/>
  <c r="P47" i="98" s="1"/>
  <c r="O48" i="98"/>
  <c r="P48" i="98" s="1"/>
  <c r="S52" i="98"/>
  <c r="T52" i="98" s="1"/>
  <c r="M15" i="94"/>
  <c r="M16" i="94"/>
  <c r="M17" i="94"/>
  <c r="M18" i="94"/>
  <c r="M14" i="94"/>
  <c r="M13" i="94"/>
  <c r="M12" i="94"/>
  <c r="M13" i="95" l="1"/>
  <c r="M11" i="95"/>
  <c r="M10" i="95"/>
  <c r="M14" i="95"/>
  <c r="M12" i="95"/>
  <c r="M9" i="95"/>
  <c r="M16" i="95"/>
  <c r="M15" i="95"/>
  <c r="M18" i="95"/>
  <c r="M17" i="95"/>
  <c r="T20" i="98"/>
  <c r="R20" i="98"/>
  <c r="T21" i="98"/>
  <c r="R21" i="98"/>
  <c r="T19" i="98"/>
  <c r="R19" i="98"/>
  <c r="T17" i="98"/>
  <c r="R17" i="98"/>
  <c r="T12" i="98"/>
  <c r="R12" i="98"/>
  <c r="T51" i="98"/>
  <c r="R51" i="98"/>
  <c r="T49" i="98"/>
  <c r="R49" i="98"/>
  <c r="T47" i="98"/>
  <c r="R47" i="98"/>
  <c r="T45" i="98"/>
  <c r="R45" i="98"/>
  <c r="T43" i="98"/>
  <c r="R43" i="98"/>
  <c r="T41" i="98"/>
  <c r="R41" i="98"/>
  <c r="T39" i="98"/>
  <c r="R39" i="98"/>
  <c r="T37" i="98"/>
  <c r="R37" i="98"/>
  <c r="T35" i="98"/>
  <c r="R35" i="98"/>
  <c r="T33" i="98"/>
  <c r="R33" i="98"/>
  <c r="T31" i="98"/>
  <c r="R31" i="98"/>
  <c r="T29" i="98"/>
  <c r="R29" i="98"/>
  <c r="T27" i="98"/>
  <c r="R27" i="98"/>
  <c r="T25" i="98"/>
  <c r="R25" i="98"/>
  <c r="T18" i="98"/>
  <c r="R18" i="98"/>
  <c r="T16" i="98"/>
  <c r="R16" i="98"/>
  <c r="T50" i="98"/>
  <c r="R50" i="98"/>
  <c r="T48" i="98"/>
  <c r="R48" i="98"/>
  <c r="T46" i="98"/>
  <c r="R46" i="98"/>
  <c r="T44" i="98"/>
  <c r="R44" i="98"/>
  <c r="T42" i="98"/>
  <c r="R42" i="98"/>
  <c r="T40" i="98"/>
  <c r="R40" i="98"/>
  <c r="T38" i="98"/>
  <c r="R38" i="98"/>
  <c r="T36" i="98"/>
  <c r="R36" i="98"/>
  <c r="T34" i="98"/>
  <c r="R34" i="98"/>
  <c r="T32" i="98"/>
  <c r="R32" i="98"/>
  <c r="T30" i="98"/>
  <c r="R30" i="98"/>
  <c r="T28" i="98"/>
  <c r="R28" i="98"/>
  <c r="T26" i="98"/>
  <c r="R26" i="98"/>
  <c r="T24" i="98"/>
  <c r="R24" i="98"/>
  <c r="R52" i="98"/>
  <c r="R8" i="98"/>
  <c r="R23" i="98"/>
  <c r="R15" i="98"/>
  <c r="R13" i="98"/>
  <c r="R11" i="98"/>
  <c r="R9" i="98"/>
  <c r="R22" i="98"/>
  <c r="R14" i="98"/>
  <c r="R10" i="98"/>
  <c r="A3" i="87"/>
  <c r="Q7" i="85" s="1"/>
  <c r="W11" i="98" l="1"/>
  <c r="W15" i="98"/>
  <c r="W19" i="98"/>
  <c r="W23" i="98"/>
  <c r="W27" i="98"/>
  <c r="W31" i="98"/>
  <c r="W35" i="98"/>
  <c r="W39" i="98"/>
  <c r="W43" i="98"/>
  <c r="W49" i="98"/>
  <c r="W10" i="98"/>
  <c r="W14" i="98"/>
  <c r="W18" i="98"/>
  <c r="W22" i="98"/>
  <c r="W26" i="98"/>
  <c r="W30" i="98"/>
  <c r="W34" i="98"/>
  <c r="W38" i="98"/>
  <c r="W42" i="98"/>
  <c r="W46" i="98"/>
  <c r="W50" i="98"/>
  <c r="W54" i="98"/>
  <c r="W51" i="98"/>
  <c r="W9" i="98"/>
  <c r="W13" i="98"/>
  <c r="W17" i="98"/>
  <c r="W21" i="98"/>
  <c r="W25" i="98"/>
  <c r="W29" i="98"/>
  <c r="W33" i="98"/>
  <c r="W37" i="98"/>
  <c r="W41" i="98"/>
  <c r="W45" i="98"/>
  <c r="W53" i="98"/>
  <c r="W8" i="98"/>
  <c r="W12" i="98"/>
  <c r="W16" i="98"/>
  <c r="W20" i="98"/>
  <c r="W24" i="98"/>
  <c r="W28" i="98"/>
  <c r="W32" i="98"/>
  <c r="W36" i="98"/>
  <c r="W40" i="98"/>
  <c r="W44" i="98"/>
  <c r="W48" i="98"/>
  <c r="W52" i="98"/>
  <c r="W47" i="98"/>
  <c r="Q9" i="85"/>
  <c r="Q8" i="85"/>
  <c r="B3" i="87"/>
  <c r="L27" i="79" l="1"/>
  <c r="M27" i="79" s="1"/>
  <c r="L25" i="80"/>
  <c r="M25" i="80" s="1"/>
  <c r="T25" i="80"/>
  <c r="L25" i="88"/>
  <c r="M25" i="88" s="1"/>
  <c r="T25" i="88"/>
  <c r="T25" i="93"/>
  <c r="R25" i="93"/>
  <c r="O25" i="88" l="1"/>
  <c r="P25" i="88" s="1"/>
  <c r="R25" i="88"/>
  <c r="O25" i="80"/>
  <c r="P25" i="80" s="1"/>
  <c r="R25" i="80"/>
  <c r="O27" i="79"/>
  <c r="P27" i="79" s="1"/>
  <c r="S69" i="30" l="1"/>
  <c r="Q69" i="30"/>
  <c r="S53" i="98"/>
  <c r="S68" i="81"/>
  <c r="Q68" i="81"/>
  <c r="L68" i="69"/>
  <c r="M68" i="69" s="1"/>
  <c r="R51" i="81"/>
  <c r="S49" i="81"/>
  <c r="Q49" i="81"/>
  <c r="S50" i="90"/>
  <c r="L50" i="69"/>
  <c r="M50" i="69" s="1"/>
  <c r="S12" i="81"/>
  <c r="Q12" i="81"/>
  <c r="S12" i="30"/>
  <c r="Q12" i="30"/>
  <c r="S12" i="90"/>
  <c r="L11" i="69"/>
  <c r="M11" i="69" s="1"/>
  <c r="Q12" i="90" l="1"/>
  <c r="S49" i="30"/>
  <c r="S68" i="90"/>
  <c r="T53" i="98"/>
  <c r="R53" i="98"/>
  <c r="Q68" i="90"/>
  <c r="O68" i="69"/>
  <c r="Q49" i="30"/>
  <c r="Q50" i="90"/>
  <c r="O50" i="69"/>
  <c r="O11" i="69"/>
  <c r="P50" i="69" l="1"/>
  <c r="G50" i="30"/>
  <c r="I50" i="69" s="1"/>
  <c r="G50" i="90"/>
  <c r="P11" i="69"/>
  <c r="G11" i="90"/>
  <c r="G11" i="30"/>
  <c r="P68" i="69"/>
  <c r="G68" i="90"/>
  <c r="G68" i="30"/>
  <c r="I68" i="69" s="1"/>
  <c r="R49" i="93"/>
  <c r="R48" i="93"/>
  <c r="R47" i="93"/>
  <c r="R46" i="93"/>
  <c r="R45" i="93"/>
  <c r="T43" i="93"/>
  <c r="T42" i="93"/>
  <c r="R42" i="93"/>
  <c r="T41" i="93"/>
  <c r="R41" i="93"/>
  <c r="T40" i="93"/>
  <c r="R40" i="93"/>
  <c r="R27" i="93"/>
  <c r="T26" i="93"/>
  <c r="R26" i="93"/>
  <c r="T8" i="93"/>
  <c r="R8" i="93"/>
  <c r="S49" i="92"/>
  <c r="S34" i="92"/>
  <c r="Q49" i="92"/>
  <c r="S48" i="92"/>
  <c r="Q48" i="92"/>
  <c r="Q34" i="92"/>
  <c r="S33" i="92"/>
  <c r="Q33" i="92"/>
  <c r="S9" i="92"/>
  <c r="Q9" i="92"/>
  <c r="S8" i="92"/>
  <c r="Q8" i="92"/>
  <c r="A4" i="92"/>
  <c r="Q84" i="91"/>
  <c r="Q83" i="91"/>
  <c r="Q67" i="91"/>
  <c r="Q57" i="91"/>
  <c r="Q56" i="91"/>
  <c r="Q40" i="91"/>
  <c r="Q25" i="91"/>
  <c r="Q24" i="91"/>
  <c r="S8" i="91"/>
  <c r="Q8" i="91"/>
  <c r="A4" i="91"/>
  <c r="S54" i="98"/>
  <c r="S10" i="92" l="1"/>
  <c r="Q10" i="92"/>
  <c r="T54" i="98"/>
  <c r="R54" i="98"/>
  <c r="S26" i="90"/>
  <c r="R43" i="93"/>
  <c r="T28" i="93"/>
  <c r="R28" i="93"/>
  <c r="T27" i="93"/>
  <c r="R9" i="93"/>
  <c r="T9" i="93"/>
  <c r="T29" i="93"/>
  <c r="R29" i="93"/>
  <c r="T10" i="93"/>
  <c r="R10" i="93"/>
  <c r="S11" i="92"/>
  <c r="Q11" i="92"/>
  <c r="Q68" i="91"/>
  <c r="Q41" i="91"/>
  <c r="S10" i="91"/>
  <c r="Q10" i="91"/>
  <c r="Q69" i="91"/>
  <c r="Q42" i="91"/>
  <c r="Q9" i="91"/>
  <c r="S9" i="91"/>
  <c r="S70" i="90"/>
  <c r="Q70" i="90"/>
  <c r="S67" i="90"/>
  <c r="Q67" i="90"/>
  <c r="S49" i="90"/>
  <c r="S48" i="90"/>
  <c r="Q48" i="90"/>
  <c r="S47" i="90"/>
  <c r="Q47" i="90"/>
  <c r="S45" i="90"/>
  <c r="Q45" i="90"/>
  <c r="S44" i="90"/>
  <c r="Q44" i="90"/>
  <c r="S43" i="90"/>
  <c r="Q43" i="90"/>
  <c r="S39" i="90"/>
  <c r="Q39" i="90"/>
  <c r="S38" i="90"/>
  <c r="Q38" i="90"/>
  <c r="S37" i="90"/>
  <c r="Q37" i="90"/>
  <c r="S36" i="90"/>
  <c r="Q36" i="90"/>
  <c r="S35" i="90"/>
  <c r="Q35" i="90"/>
  <c r="S34" i="90"/>
  <c r="Q34" i="90"/>
  <c r="S33" i="90"/>
  <c r="Q33" i="90"/>
  <c r="S32" i="90"/>
  <c r="Q32" i="90"/>
  <c r="S31" i="90"/>
  <c r="Q31" i="90"/>
  <c r="S30" i="90"/>
  <c r="Q30" i="90"/>
  <c r="S29" i="90"/>
  <c r="Q29" i="90"/>
  <c r="S28" i="90"/>
  <c r="Q28" i="90"/>
  <c r="S27" i="90"/>
  <c r="Q27" i="90"/>
  <c r="Q26" i="90"/>
  <c r="S25" i="90"/>
  <c r="Q25" i="90"/>
  <c r="S24" i="90"/>
  <c r="Q24" i="90"/>
  <c r="S23" i="90"/>
  <c r="Q23" i="90"/>
  <c r="S22" i="90"/>
  <c r="Q22" i="90"/>
  <c r="S21" i="90"/>
  <c r="Q21" i="90"/>
  <c r="S20" i="90"/>
  <c r="Q20" i="90"/>
  <c r="S19" i="90"/>
  <c r="Q19" i="90"/>
  <c r="S18" i="90"/>
  <c r="Q18" i="90"/>
  <c r="S17" i="90"/>
  <c r="Q17" i="90"/>
  <c r="S15" i="90"/>
  <c r="Q15" i="90"/>
  <c r="S14" i="90"/>
  <c r="Q14" i="90"/>
  <c r="S13" i="90"/>
  <c r="Q13" i="90"/>
  <c r="S11" i="90"/>
  <c r="L11" i="90"/>
  <c r="Q11" i="90" s="1"/>
  <c r="K11" i="90"/>
  <c r="S10" i="90"/>
  <c r="Q10" i="90"/>
  <c r="S9" i="90"/>
  <c r="Q9" i="90"/>
  <c r="S8" i="90"/>
  <c r="Q8" i="90"/>
  <c r="N13" i="64"/>
  <c r="N14" i="64" s="1"/>
  <c r="N16" i="64" s="1"/>
  <c r="N18" i="64" s="1"/>
  <c r="N20" i="64" s="1"/>
  <c r="S42" i="90" l="1"/>
  <c r="Q42" i="90"/>
  <c r="Q41" i="90"/>
  <c r="M20" i="64"/>
  <c r="N22" i="64"/>
  <c r="N24" i="64" s="1"/>
  <c r="N26" i="64" s="1"/>
  <c r="N15" i="64"/>
  <c r="N17" i="64" s="1"/>
  <c r="N19" i="64" s="1"/>
  <c r="N21" i="64" s="1"/>
  <c r="N23" i="64" s="1"/>
  <c r="N25" i="64" s="1"/>
  <c r="N27" i="64" s="1"/>
  <c r="S41" i="90"/>
  <c r="N11" i="90"/>
  <c r="O11" i="90" s="1"/>
  <c r="S35" i="92"/>
  <c r="Q35" i="92"/>
  <c r="T30" i="93"/>
  <c r="R30" i="93"/>
  <c r="T11" i="93"/>
  <c r="R11" i="93"/>
  <c r="S12" i="92"/>
  <c r="Q12" i="92"/>
  <c r="Q58" i="91"/>
  <c r="S11" i="91"/>
  <c r="Q11" i="91"/>
  <c r="Q85" i="91"/>
  <c r="Q26" i="91"/>
  <c r="Q43" i="91"/>
  <c r="Q70" i="91"/>
  <c r="S52" i="90"/>
  <c r="Q49" i="90"/>
  <c r="Q51" i="90"/>
  <c r="S51" i="90"/>
  <c r="C406" i="76"/>
  <c r="C394" i="76"/>
  <c r="C382" i="76"/>
  <c r="C370" i="76"/>
  <c r="C358" i="76"/>
  <c r="C346" i="76"/>
  <c r="C334" i="76"/>
  <c r="C193" i="76"/>
  <c r="C181" i="76"/>
  <c r="C169" i="76"/>
  <c r="C157" i="76"/>
  <c r="C145" i="76"/>
  <c r="C121" i="76"/>
  <c r="C109" i="76"/>
  <c r="A4" i="77"/>
  <c r="L77" i="70"/>
  <c r="M77" i="70" s="1"/>
  <c r="L76" i="70"/>
  <c r="M76" i="70" s="1"/>
  <c r="L75" i="70"/>
  <c r="M75" i="70" s="1"/>
  <c r="L74" i="70"/>
  <c r="M74" i="70" s="1"/>
  <c r="L73" i="70"/>
  <c r="M73" i="70" s="1"/>
  <c r="R73" i="82"/>
  <c r="Q73" i="82" s="1"/>
  <c r="Q46" i="90" l="1"/>
  <c r="S46" i="90"/>
  <c r="Q40" i="90"/>
  <c r="S40" i="90"/>
  <c r="Q36" i="92"/>
  <c r="S36" i="92"/>
  <c r="Q52" i="90"/>
  <c r="T31" i="93"/>
  <c r="R31" i="93"/>
  <c r="T12" i="93"/>
  <c r="R12" i="93"/>
  <c r="S13" i="92"/>
  <c r="Q13" i="92"/>
  <c r="Q27" i="91"/>
  <c r="Q86" i="91"/>
  <c r="S12" i="91"/>
  <c r="Q12" i="91"/>
  <c r="Q71" i="91"/>
  <c r="Q44" i="91"/>
  <c r="Q59" i="91"/>
  <c r="S54" i="90"/>
  <c r="Q54" i="90"/>
  <c r="S53" i="90"/>
  <c r="Q53" i="90"/>
  <c r="O74" i="70"/>
  <c r="P74" i="70" s="1"/>
  <c r="O76" i="70"/>
  <c r="P76" i="70" s="1"/>
  <c r="O73" i="70"/>
  <c r="P73" i="70" s="1"/>
  <c r="O75" i="70"/>
  <c r="P75" i="70" s="1"/>
  <c r="O77" i="70"/>
  <c r="P77" i="70" s="1"/>
  <c r="R74" i="82"/>
  <c r="O8" i="84"/>
  <c r="M8" i="84"/>
  <c r="O8" i="64"/>
  <c r="Q37" i="92" l="1"/>
  <c r="S37" i="92"/>
  <c r="R33" i="93"/>
  <c r="T33" i="93"/>
  <c r="T13" i="93"/>
  <c r="R13" i="93"/>
  <c r="Q39" i="92"/>
  <c r="S39" i="92"/>
  <c r="S14" i="92"/>
  <c r="Q14" i="92"/>
  <c r="Q60" i="91"/>
  <c r="S13" i="91"/>
  <c r="Q13" i="91"/>
  <c r="Q45" i="91"/>
  <c r="Q72" i="91"/>
  <c r="Q87" i="91"/>
  <c r="Q28" i="91"/>
  <c r="S56" i="90"/>
  <c r="Q56" i="90"/>
  <c r="S55" i="90"/>
  <c r="Q55" i="90"/>
  <c r="Q74" i="82"/>
  <c r="R75" i="82"/>
  <c r="M8" i="64"/>
  <c r="K243" i="76"/>
  <c r="K244" i="76" s="1"/>
  <c r="C396" i="76"/>
  <c r="C395" i="76"/>
  <c r="C392" i="76"/>
  <c r="S38" i="92" l="1"/>
  <c r="Q38" i="92"/>
  <c r="K245" i="76"/>
  <c r="K247" i="76"/>
  <c r="T34" i="93"/>
  <c r="R34" i="93"/>
  <c r="T14" i="93"/>
  <c r="R14" i="93"/>
  <c r="Q40" i="92"/>
  <c r="S40" i="92"/>
  <c r="S15" i="92"/>
  <c r="Q15" i="92"/>
  <c r="Q29" i="91"/>
  <c r="Q88" i="91"/>
  <c r="S14" i="91"/>
  <c r="Q14" i="91"/>
  <c r="Q73" i="91"/>
  <c r="Q46" i="91"/>
  <c r="Q61" i="91"/>
  <c r="S58" i="90"/>
  <c r="Q58" i="90"/>
  <c r="S57" i="90"/>
  <c r="Q57" i="90"/>
  <c r="Q75" i="82"/>
  <c r="R76" i="82"/>
  <c r="L10" i="79"/>
  <c r="M10" i="79" s="1"/>
  <c r="O10" i="79" s="1"/>
  <c r="P10" i="79" s="1"/>
  <c r="L11" i="79"/>
  <c r="M11" i="79" s="1"/>
  <c r="O11" i="79" s="1"/>
  <c r="P11" i="79" s="1"/>
  <c r="L12" i="79"/>
  <c r="M12" i="79" s="1"/>
  <c r="O12" i="79" s="1"/>
  <c r="P12" i="79" s="1"/>
  <c r="L13" i="79"/>
  <c r="M13" i="79" s="1"/>
  <c r="O13" i="79" s="1"/>
  <c r="P13" i="79" s="1"/>
  <c r="L14" i="79"/>
  <c r="M14" i="79" s="1"/>
  <c r="O14" i="79" s="1"/>
  <c r="P14" i="79" s="1"/>
  <c r="L15" i="79"/>
  <c r="M15" i="79" s="1"/>
  <c r="O15" i="79" s="1"/>
  <c r="P15" i="79" s="1"/>
  <c r="L16" i="79"/>
  <c r="M16" i="79" s="1"/>
  <c r="O16" i="79" s="1"/>
  <c r="P16" i="79" s="1"/>
  <c r="L17" i="79"/>
  <c r="M17" i="79" s="1"/>
  <c r="O17" i="79" s="1"/>
  <c r="P17" i="79" s="1"/>
  <c r="L18" i="79"/>
  <c r="M18" i="79" s="1"/>
  <c r="O18" i="79" s="1"/>
  <c r="P18" i="79" s="1"/>
  <c r="L19" i="79"/>
  <c r="M19" i="79" s="1"/>
  <c r="O19" i="79" s="1"/>
  <c r="P19" i="79" s="1"/>
  <c r="L20" i="79"/>
  <c r="M20" i="79" s="1"/>
  <c r="O20" i="79" s="1"/>
  <c r="P20" i="79" s="1"/>
  <c r="L21" i="79"/>
  <c r="M21" i="79" s="1"/>
  <c r="O21" i="79" s="1"/>
  <c r="P21" i="79" s="1"/>
  <c r="L22" i="79"/>
  <c r="M22" i="79" s="1"/>
  <c r="O22" i="79" s="1"/>
  <c r="P22" i="79" s="1"/>
  <c r="L23" i="79"/>
  <c r="M23" i="79" s="1"/>
  <c r="O23" i="79" s="1"/>
  <c r="P23" i="79" s="1"/>
  <c r="L24" i="79"/>
  <c r="M24" i="79" s="1"/>
  <c r="O24" i="79" s="1"/>
  <c r="P24" i="79" s="1"/>
  <c r="L25" i="79"/>
  <c r="M25" i="79" s="1"/>
  <c r="O25" i="79" s="1"/>
  <c r="P25" i="79" s="1"/>
  <c r="L28" i="79"/>
  <c r="M28" i="79" s="1"/>
  <c r="O28" i="79" s="1"/>
  <c r="P28" i="79" s="1"/>
  <c r="L29" i="79"/>
  <c r="M29" i="79" s="1"/>
  <c r="O29" i="79" s="1"/>
  <c r="P29" i="79" s="1"/>
  <c r="L30" i="79"/>
  <c r="M30" i="79" s="1"/>
  <c r="O30" i="79" s="1"/>
  <c r="P30" i="79" s="1"/>
  <c r="L31" i="79"/>
  <c r="M31" i="79" s="1"/>
  <c r="O31" i="79" s="1"/>
  <c r="P31" i="79" s="1"/>
  <c r="L32" i="79"/>
  <c r="M32" i="79" s="1"/>
  <c r="O32" i="79" s="1"/>
  <c r="P32" i="79" s="1"/>
  <c r="L33" i="79"/>
  <c r="M33" i="79" s="1"/>
  <c r="O33" i="79" s="1"/>
  <c r="P33" i="79" s="1"/>
  <c r="L34" i="79"/>
  <c r="M34" i="79" s="1"/>
  <c r="O34" i="79" s="1"/>
  <c r="P34" i="79" s="1"/>
  <c r="L35" i="79"/>
  <c r="M35" i="79" s="1"/>
  <c r="O35" i="79" s="1"/>
  <c r="P35" i="79" s="1"/>
  <c r="L36" i="79"/>
  <c r="M36" i="79" s="1"/>
  <c r="O36" i="79" s="1"/>
  <c r="P36" i="79" s="1"/>
  <c r="L37" i="79"/>
  <c r="M37" i="79" s="1"/>
  <c r="O37" i="79" s="1"/>
  <c r="P37" i="79" s="1"/>
  <c r="L38" i="79"/>
  <c r="M38" i="79" s="1"/>
  <c r="O38" i="79" s="1"/>
  <c r="P38" i="79" s="1"/>
  <c r="L39" i="79"/>
  <c r="M39" i="79" s="1"/>
  <c r="O39" i="79" s="1"/>
  <c r="P39" i="79" s="1"/>
  <c r="L40" i="79"/>
  <c r="M40" i="79" s="1"/>
  <c r="O40" i="79" s="1"/>
  <c r="P40" i="79" s="1"/>
  <c r="L41" i="79"/>
  <c r="M41" i="79" s="1"/>
  <c r="O41" i="79" s="1"/>
  <c r="P41" i="79" s="1"/>
  <c r="L42" i="79"/>
  <c r="M42" i="79" s="1"/>
  <c r="O42" i="79" s="1"/>
  <c r="P42" i="79" s="1"/>
  <c r="L43" i="79"/>
  <c r="M43" i="79" s="1"/>
  <c r="O43" i="79" s="1"/>
  <c r="P43" i="79" s="1"/>
  <c r="L9" i="79"/>
  <c r="M9" i="79" s="1"/>
  <c r="O9" i="79" s="1"/>
  <c r="P9" i="79" s="1"/>
  <c r="L8" i="79"/>
  <c r="M8" i="79" s="1"/>
  <c r="O8" i="79" s="1"/>
  <c r="P8" i="79" s="1"/>
  <c r="L10" i="71"/>
  <c r="M10" i="71" s="1"/>
  <c r="O10" i="71" s="1"/>
  <c r="P10" i="71" s="1"/>
  <c r="L11" i="71"/>
  <c r="M11" i="71" s="1"/>
  <c r="O11" i="71" s="1"/>
  <c r="P11" i="71" s="1"/>
  <c r="L12" i="71"/>
  <c r="M12" i="71" s="1"/>
  <c r="O12" i="71" s="1"/>
  <c r="P12" i="71" s="1"/>
  <c r="L13" i="71"/>
  <c r="M13" i="71" s="1"/>
  <c r="O13" i="71" s="1"/>
  <c r="P13" i="71" s="1"/>
  <c r="L14" i="71"/>
  <c r="M14" i="71" s="1"/>
  <c r="O14" i="71" s="1"/>
  <c r="P14" i="71" s="1"/>
  <c r="L15" i="71"/>
  <c r="M15" i="71" s="1"/>
  <c r="O15" i="71" s="1"/>
  <c r="P15" i="71" s="1"/>
  <c r="L16" i="71"/>
  <c r="M16" i="71" s="1"/>
  <c r="O16" i="71" s="1"/>
  <c r="P16" i="71" s="1"/>
  <c r="L17" i="71"/>
  <c r="M17" i="71" s="1"/>
  <c r="O17" i="71" s="1"/>
  <c r="P17" i="71" s="1"/>
  <c r="L18" i="71"/>
  <c r="M18" i="71" s="1"/>
  <c r="O18" i="71" s="1"/>
  <c r="P18" i="71" s="1"/>
  <c r="L19" i="71"/>
  <c r="M19" i="71" s="1"/>
  <c r="O19" i="71" s="1"/>
  <c r="P19" i="71" s="1"/>
  <c r="L20" i="71"/>
  <c r="M20" i="71" s="1"/>
  <c r="O20" i="71" s="1"/>
  <c r="P20" i="71" s="1"/>
  <c r="L21" i="71"/>
  <c r="M21" i="71" s="1"/>
  <c r="O21" i="71" s="1"/>
  <c r="P21" i="71" s="1"/>
  <c r="L33" i="71"/>
  <c r="M33" i="71" s="1"/>
  <c r="O33" i="71" s="1"/>
  <c r="P33" i="71" s="1"/>
  <c r="L35" i="71"/>
  <c r="M35" i="71" s="1"/>
  <c r="O35" i="71" s="1"/>
  <c r="P35" i="71" s="1"/>
  <c r="L36" i="71"/>
  <c r="M36" i="71" s="1"/>
  <c r="O36" i="71" s="1"/>
  <c r="P36" i="71" s="1"/>
  <c r="L37" i="71"/>
  <c r="M37" i="71" s="1"/>
  <c r="O37" i="71" s="1"/>
  <c r="P37" i="71" s="1"/>
  <c r="L38" i="71"/>
  <c r="M38" i="71" s="1"/>
  <c r="O38" i="71" s="1"/>
  <c r="P38" i="71" s="1"/>
  <c r="L39" i="71"/>
  <c r="M39" i="71" s="1"/>
  <c r="O39" i="71" s="1"/>
  <c r="P39" i="71" s="1"/>
  <c r="L40" i="71"/>
  <c r="M40" i="71" s="1"/>
  <c r="O40" i="71" s="1"/>
  <c r="P40" i="71" s="1"/>
  <c r="L41" i="71"/>
  <c r="M41" i="71" s="1"/>
  <c r="O41" i="71" s="1"/>
  <c r="P41" i="71" s="1"/>
  <c r="L42" i="71"/>
  <c r="M42" i="71" s="1"/>
  <c r="O42" i="71" s="1"/>
  <c r="P42" i="71" s="1"/>
  <c r="L43" i="71"/>
  <c r="M43" i="71" s="1"/>
  <c r="O43" i="71" s="1"/>
  <c r="P43" i="71" s="1"/>
  <c r="L44" i="71"/>
  <c r="M44" i="71" s="1"/>
  <c r="O44" i="71" s="1"/>
  <c r="P44" i="71" s="1"/>
  <c r="L45" i="71"/>
  <c r="M45" i="71" s="1"/>
  <c r="O45" i="71" s="1"/>
  <c r="P45" i="71" s="1"/>
  <c r="L46" i="71"/>
  <c r="M46" i="71" s="1"/>
  <c r="O46" i="71" s="1"/>
  <c r="P46" i="71" s="1"/>
  <c r="L47" i="71"/>
  <c r="M47" i="71" s="1"/>
  <c r="O47" i="71" s="1"/>
  <c r="P47" i="71" s="1"/>
  <c r="L48" i="71"/>
  <c r="M48" i="71" s="1"/>
  <c r="O48" i="71" s="1"/>
  <c r="P48" i="71" s="1"/>
  <c r="L49" i="71"/>
  <c r="M49" i="71" s="1"/>
  <c r="O49" i="71" s="1"/>
  <c r="P49" i="71" s="1"/>
  <c r="L9" i="71"/>
  <c r="M9" i="71" s="1"/>
  <c r="O9" i="71" s="1"/>
  <c r="P9" i="71" s="1"/>
  <c r="L8" i="71"/>
  <c r="M8" i="71" s="1"/>
  <c r="O8" i="71" s="1"/>
  <c r="P8" i="71" s="1"/>
  <c r="L93" i="70"/>
  <c r="M93" i="70" s="1"/>
  <c r="L27" i="70"/>
  <c r="M27" i="70" s="1"/>
  <c r="O27" i="70" s="1"/>
  <c r="P27" i="70" s="1"/>
  <c r="L28" i="70"/>
  <c r="M28" i="70" s="1"/>
  <c r="O28" i="70" s="1"/>
  <c r="P28" i="70" s="1"/>
  <c r="L29" i="70"/>
  <c r="M29" i="70" s="1"/>
  <c r="O29" i="70" s="1"/>
  <c r="P29" i="70" s="1"/>
  <c r="L30" i="70"/>
  <c r="M30" i="70" s="1"/>
  <c r="O30" i="70" s="1"/>
  <c r="P30" i="70" s="1"/>
  <c r="L31" i="70"/>
  <c r="M31" i="70" s="1"/>
  <c r="O31" i="70" s="1"/>
  <c r="P31" i="70" s="1"/>
  <c r="L32" i="70"/>
  <c r="M32" i="70" s="1"/>
  <c r="O32" i="70" s="1"/>
  <c r="P32" i="70" s="1"/>
  <c r="L33" i="70"/>
  <c r="M33" i="70" s="1"/>
  <c r="O33" i="70" s="1"/>
  <c r="P33" i="70" s="1"/>
  <c r="L34" i="70"/>
  <c r="M34" i="70" s="1"/>
  <c r="O34" i="70" s="1"/>
  <c r="P34" i="70" s="1"/>
  <c r="L35" i="70"/>
  <c r="M35" i="70" s="1"/>
  <c r="O35" i="70" s="1"/>
  <c r="P35" i="70" s="1"/>
  <c r="L36" i="70"/>
  <c r="M36" i="70" s="1"/>
  <c r="O36" i="70" s="1"/>
  <c r="P36" i="70" s="1"/>
  <c r="L37" i="70"/>
  <c r="M37" i="70" s="1"/>
  <c r="O37" i="70" s="1"/>
  <c r="P37" i="70" s="1"/>
  <c r="L38" i="70"/>
  <c r="M38" i="70" s="1"/>
  <c r="O38" i="70" s="1"/>
  <c r="P38" i="70" s="1"/>
  <c r="L39" i="70"/>
  <c r="M39" i="70" s="1"/>
  <c r="O39" i="70" s="1"/>
  <c r="P39" i="70" s="1"/>
  <c r="L40" i="70"/>
  <c r="M40" i="70" s="1"/>
  <c r="O40" i="70" s="1"/>
  <c r="P40" i="70" s="1"/>
  <c r="L41" i="70"/>
  <c r="M41" i="70" s="1"/>
  <c r="O41" i="70" s="1"/>
  <c r="P41" i="70" s="1"/>
  <c r="L42" i="70"/>
  <c r="M42" i="70" s="1"/>
  <c r="O42" i="70" s="1"/>
  <c r="P42" i="70" s="1"/>
  <c r="L43" i="70"/>
  <c r="M43" i="70" s="1"/>
  <c r="O43" i="70" s="1"/>
  <c r="P43" i="70" s="1"/>
  <c r="L44" i="70"/>
  <c r="M44" i="70" s="1"/>
  <c r="O44" i="70" s="1"/>
  <c r="L45" i="70"/>
  <c r="M45" i="70" s="1"/>
  <c r="O45" i="70" s="1"/>
  <c r="P45" i="70" s="1"/>
  <c r="L46" i="70"/>
  <c r="M46" i="70" s="1"/>
  <c r="O46" i="70" s="1"/>
  <c r="P46" i="70" s="1"/>
  <c r="L47" i="70"/>
  <c r="M47" i="70" s="1"/>
  <c r="O47" i="70" s="1"/>
  <c r="P47" i="70" s="1"/>
  <c r="L48" i="70"/>
  <c r="M48" i="70" s="1"/>
  <c r="O48" i="70" s="1"/>
  <c r="P48" i="70" s="1"/>
  <c r="L49" i="70"/>
  <c r="M49" i="70" s="1"/>
  <c r="O49" i="70" s="1"/>
  <c r="P49" i="70" s="1"/>
  <c r="L50" i="70"/>
  <c r="M50" i="70" s="1"/>
  <c r="O50" i="70" s="1"/>
  <c r="P50" i="70" s="1"/>
  <c r="L51" i="70"/>
  <c r="M51" i="70" s="1"/>
  <c r="O51" i="70" s="1"/>
  <c r="P51" i="70" s="1"/>
  <c r="L52" i="70"/>
  <c r="M52" i="70" s="1"/>
  <c r="O52" i="70" s="1"/>
  <c r="P52" i="70" s="1"/>
  <c r="L53" i="70"/>
  <c r="M53" i="70" s="1"/>
  <c r="O53" i="70" s="1"/>
  <c r="P53" i="70" s="1"/>
  <c r="L54" i="70"/>
  <c r="M54" i="70" s="1"/>
  <c r="O54" i="70" s="1"/>
  <c r="P54" i="70" s="1"/>
  <c r="L55" i="70"/>
  <c r="M55" i="70" s="1"/>
  <c r="O55" i="70" s="1"/>
  <c r="P55" i="70" s="1"/>
  <c r="L56" i="70"/>
  <c r="M56" i="70" s="1"/>
  <c r="O56" i="70" s="1"/>
  <c r="P56" i="70" s="1"/>
  <c r="L58" i="70"/>
  <c r="M58" i="70" s="1"/>
  <c r="O58" i="70" s="1"/>
  <c r="P58" i="70" s="1"/>
  <c r="L59" i="70"/>
  <c r="M59" i="70" s="1"/>
  <c r="O59" i="70" s="1"/>
  <c r="P59" i="70" s="1"/>
  <c r="L60" i="70"/>
  <c r="M60" i="70" s="1"/>
  <c r="O60" i="70" s="1"/>
  <c r="P60" i="70" s="1"/>
  <c r="L61" i="70"/>
  <c r="M61" i="70" s="1"/>
  <c r="O61" i="70" s="1"/>
  <c r="P61" i="70" s="1"/>
  <c r="L62" i="70"/>
  <c r="M62" i="70" s="1"/>
  <c r="O62" i="70" s="1"/>
  <c r="P62" i="70" s="1"/>
  <c r="L63" i="70"/>
  <c r="M63" i="70" s="1"/>
  <c r="O63" i="70" s="1"/>
  <c r="P63" i="70" s="1"/>
  <c r="L64" i="70"/>
  <c r="M64" i="70" s="1"/>
  <c r="O64" i="70" s="1"/>
  <c r="P64" i="70" s="1"/>
  <c r="L65" i="70"/>
  <c r="M65" i="70" s="1"/>
  <c r="O65" i="70" s="1"/>
  <c r="P65" i="70" s="1"/>
  <c r="L66" i="70"/>
  <c r="M66" i="70" s="1"/>
  <c r="O66" i="70" s="1"/>
  <c r="P66" i="70" s="1"/>
  <c r="L67" i="70"/>
  <c r="M67" i="70" s="1"/>
  <c r="O67" i="70" s="1"/>
  <c r="P67" i="70" s="1"/>
  <c r="L68" i="70"/>
  <c r="M68" i="70" s="1"/>
  <c r="O68" i="70" s="1"/>
  <c r="P68" i="70" s="1"/>
  <c r="L69" i="70"/>
  <c r="M69" i="70" s="1"/>
  <c r="O69" i="70" s="1"/>
  <c r="P69" i="70" s="1"/>
  <c r="L70" i="70"/>
  <c r="M70" i="70" s="1"/>
  <c r="O70" i="70" s="1"/>
  <c r="P70" i="70" s="1"/>
  <c r="L71" i="70"/>
  <c r="M71" i="70" s="1"/>
  <c r="O71" i="70" s="1"/>
  <c r="P71" i="70" s="1"/>
  <c r="L72" i="70"/>
  <c r="M72" i="70" s="1"/>
  <c r="O72" i="70" s="1"/>
  <c r="P72" i="70" s="1"/>
  <c r="L78" i="70"/>
  <c r="M78" i="70" s="1"/>
  <c r="O78" i="70" s="1"/>
  <c r="P78" i="70" s="1"/>
  <c r="L79" i="70"/>
  <c r="M79" i="70" s="1"/>
  <c r="O79" i="70" s="1"/>
  <c r="P79" i="70" s="1"/>
  <c r="L80" i="70"/>
  <c r="M80" i="70" s="1"/>
  <c r="O80" i="70" s="1"/>
  <c r="P80" i="70" s="1"/>
  <c r="L81" i="70"/>
  <c r="M81" i="70" s="1"/>
  <c r="O81" i="70" s="1"/>
  <c r="P81" i="70" s="1"/>
  <c r="L82" i="70"/>
  <c r="M82" i="70" s="1"/>
  <c r="O82" i="70" s="1"/>
  <c r="P82" i="70" s="1"/>
  <c r="L83" i="70"/>
  <c r="M83" i="70" s="1"/>
  <c r="O83" i="70" s="1"/>
  <c r="P83" i="70" s="1"/>
  <c r="L84" i="70"/>
  <c r="M84" i="70" s="1"/>
  <c r="O84" i="70" s="1"/>
  <c r="P84" i="70" s="1"/>
  <c r="L85" i="70"/>
  <c r="M85" i="70" s="1"/>
  <c r="O85" i="70" s="1"/>
  <c r="P85" i="70" s="1"/>
  <c r="L86" i="70"/>
  <c r="M86" i="70" s="1"/>
  <c r="O86" i="70" s="1"/>
  <c r="P86" i="70" s="1"/>
  <c r="L87" i="70"/>
  <c r="M87" i="70" s="1"/>
  <c r="O87" i="70" s="1"/>
  <c r="P87" i="70" s="1"/>
  <c r="L88" i="70"/>
  <c r="M88" i="70" s="1"/>
  <c r="O88" i="70" s="1"/>
  <c r="P88" i="70" s="1"/>
  <c r="L89" i="70"/>
  <c r="M89" i="70" s="1"/>
  <c r="O89" i="70" s="1"/>
  <c r="P89" i="70" s="1"/>
  <c r="L90" i="70"/>
  <c r="M90" i="70" s="1"/>
  <c r="O90" i="70" s="1"/>
  <c r="P90" i="70" s="1"/>
  <c r="L91" i="70"/>
  <c r="M91" i="70" s="1"/>
  <c r="O91" i="70" s="1"/>
  <c r="P91" i="70" s="1"/>
  <c r="L92" i="70"/>
  <c r="M92" i="70" s="1"/>
  <c r="O92" i="70" s="1"/>
  <c r="P92" i="70" s="1"/>
  <c r="L10" i="70"/>
  <c r="M10" i="70" s="1"/>
  <c r="O10" i="70" s="1"/>
  <c r="P10" i="70" s="1"/>
  <c r="L11" i="70"/>
  <c r="M11" i="70" s="1"/>
  <c r="O11" i="70" s="1"/>
  <c r="P11" i="70" s="1"/>
  <c r="L12" i="70"/>
  <c r="M12" i="70" s="1"/>
  <c r="O12" i="70" s="1"/>
  <c r="P12" i="70" s="1"/>
  <c r="L13" i="70"/>
  <c r="M13" i="70" s="1"/>
  <c r="O13" i="70" s="1"/>
  <c r="P13" i="70" s="1"/>
  <c r="L14" i="70"/>
  <c r="M14" i="70" s="1"/>
  <c r="O14" i="70" s="1"/>
  <c r="P14" i="70" s="1"/>
  <c r="L15" i="70"/>
  <c r="M15" i="70" s="1"/>
  <c r="O15" i="70" s="1"/>
  <c r="P15" i="70" s="1"/>
  <c r="L16" i="70"/>
  <c r="M16" i="70" s="1"/>
  <c r="O16" i="70" s="1"/>
  <c r="P16" i="70" s="1"/>
  <c r="L17" i="70"/>
  <c r="M17" i="70" s="1"/>
  <c r="O17" i="70" s="1"/>
  <c r="P17" i="70" s="1"/>
  <c r="L18" i="70"/>
  <c r="M18" i="70" s="1"/>
  <c r="O18" i="70" s="1"/>
  <c r="P18" i="70" s="1"/>
  <c r="L19" i="70"/>
  <c r="M19" i="70" s="1"/>
  <c r="O19" i="70" s="1"/>
  <c r="P19" i="70" s="1"/>
  <c r="L20" i="70"/>
  <c r="M20" i="70" s="1"/>
  <c r="O20" i="70" s="1"/>
  <c r="P20" i="70" s="1"/>
  <c r="L21" i="70"/>
  <c r="M21" i="70" s="1"/>
  <c r="O21" i="70" s="1"/>
  <c r="P21" i="70" s="1"/>
  <c r="L22" i="70"/>
  <c r="M22" i="70" s="1"/>
  <c r="O22" i="70" s="1"/>
  <c r="P22" i="70" s="1"/>
  <c r="L23" i="70"/>
  <c r="M23" i="70" s="1"/>
  <c r="O23" i="70" s="1"/>
  <c r="P23" i="70" s="1"/>
  <c r="L24" i="70"/>
  <c r="M24" i="70" s="1"/>
  <c r="O24" i="70" s="1"/>
  <c r="P24" i="70" s="1"/>
  <c r="L25" i="70"/>
  <c r="M25" i="70" s="1"/>
  <c r="O25" i="70" s="1"/>
  <c r="P25" i="70" s="1"/>
  <c r="L26" i="70"/>
  <c r="M26" i="70" s="1"/>
  <c r="O26" i="70" s="1"/>
  <c r="P26" i="70" s="1"/>
  <c r="L9" i="70"/>
  <c r="M9" i="70" s="1"/>
  <c r="O9" i="70" s="1"/>
  <c r="P9" i="70" s="1"/>
  <c r="L8" i="70"/>
  <c r="M8" i="70" s="1"/>
  <c r="O8" i="70" s="1"/>
  <c r="P8" i="70" s="1"/>
  <c r="S27" i="88"/>
  <c r="S28" i="88" s="1"/>
  <c r="R49" i="88"/>
  <c r="R48" i="88"/>
  <c r="R47" i="88"/>
  <c r="R46" i="88"/>
  <c r="R45" i="88"/>
  <c r="S43" i="88"/>
  <c r="T43" i="88" s="1"/>
  <c r="T42" i="88"/>
  <c r="R42" i="88"/>
  <c r="T41" i="88"/>
  <c r="R41" i="88"/>
  <c r="I41" i="88"/>
  <c r="T40" i="88"/>
  <c r="R40" i="88"/>
  <c r="I40" i="88"/>
  <c r="I39" i="88"/>
  <c r="I37" i="88"/>
  <c r="I35" i="88"/>
  <c r="I34" i="88"/>
  <c r="I33" i="88"/>
  <c r="I29" i="88"/>
  <c r="I28" i="88"/>
  <c r="T27" i="88"/>
  <c r="R27" i="88"/>
  <c r="T26" i="88"/>
  <c r="R26" i="88"/>
  <c r="I23" i="88"/>
  <c r="I22" i="88"/>
  <c r="I20" i="88"/>
  <c r="I19" i="88"/>
  <c r="I18" i="88"/>
  <c r="I17" i="88"/>
  <c r="I16" i="88"/>
  <c r="I15" i="88"/>
  <c r="I14" i="88"/>
  <c r="I12" i="88"/>
  <c r="I10" i="88"/>
  <c r="S9" i="88"/>
  <c r="S10" i="88" s="1"/>
  <c r="I9" i="88"/>
  <c r="T8" i="88"/>
  <c r="R8" i="88"/>
  <c r="L67" i="69"/>
  <c r="M67" i="69" s="1"/>
  <c r="O67" i="69" s="1"/>
  <c r="L70" i="69"/>
  <c r="M70" i="69" s="1"/>
  <c r="O70" i="69" s="1"/>
  <c r="L47" i="69"/>
  <c r="M47" i="69" s="1"/>
  <c r="O47" i="69" s="1"/>
  <c r="L48" i="69"/>
  <c r="M48" i="69" s="1"/>
  <c r="O48" i="69" s="1"/>
  <c r="L49" i="69"/>
  <c r="M49" i="69" s="1"/>
  <c r="O49" i="69" s="1"/>
  <c r="L51" i="69"/>
  <c r="M51" i="69" s="1"/>
  <c r="O51" i="69" s="1"/>
  <c r="L52" i="69"/>
  <c r="M52" i="69" s="1"/>
  <c r="O52" i="69" s="1"/>
  <c r="L53" i="69"/>
  <c r="M53" i="69" s="1"/>
  <c r="O53" i="69" s="1"/>
  <c r="L54" i="69"/>
  <c r="M54" i="69" s="1"/>
  <c r="O54" i="69" s="1"/>
  <c r="L55" i="69"/>
  <c r="M55" i="69" s="1"/>
  <c r="O55" i="69" s="1"/>
  <c r="L56" i="69"/>
  <c r="M56" i="69" s="1"/>
  <c r="O56" i="69" s="1"/>
  <c r="L58" i="69"/>
  <c r="M58" i="69" s="1"/>
  <c r="O58" i="69" s="1"/>
  <c r="L60" i="69"/>
  <c r="M60" i="69" s="1"/>
  <c r="O60" i="69" s="1"/>
  <c r="L61" i="69"/>
  <c r="M61" i="69" s="1"/>
  <c r="O61" i="69" s="1"/>
  <c r="L62" i="69"/>
  <c r="M62" i="69" s="1"/>
  <c r="O62" i="69" s="1"/>
  <c r="L63" i="69"/>
  <c r="M63" i="69" s="1"/>
  <c r="O63" i="69" s="1"/>
  <c r="L64" i="69"/>
  <c r="M64" i="69" s="1"/>
  <c r="O64" i="69" s="1"/>
  <c r="L65" i="69"/>
  <c r="M65" i="69" s="1"/>
  <c r="O65" i="69" s="1"/>
  <c r="L66" i="69"/>
  <c r="M66" i="69" s="1"/>
  <c r="O66" i="69" s="1"/>
  <c r="L46" i="69"/>
  <c r="M46" i="69" s="1"/>
  <c r="O46" i="69" s="1"/>
  <c r="L45" i="69"/>
  <c r="M45" i="69" s="1"/>
  <c r="O45" i="69" s="1"/>
  <c r="L44" i="69"/>
  <c r="M44" i="69" s="1"/>
  <c r="O44" i="69" s="1"/>
  <c r="L43" i="69"/>
  <c r="M43" i="69" s="1"/>
  <c r="O43" i="69" s="1"/>
  <c r="L42" i="69"/>
  <c r="M42" i="69" s="1"/>
  <c r="O42" i="69" s="1"/>
  <c r="L41" i="69"/>
  <c r="M41" i="69" s="1"/>
  <c r="O41" i="69" s="1"/>
  <c r="L39" i="69"/>
  <c r="M39" i="69" s="1"/>
  <c r="O39" i="69" s="1"/>
  <c r="L38" i="69"/>
  <c r="M38" i="69" s="1"/>
  <c r="O38" i="69" s="1"/>
  <c r="L37" i="69"/>
  <c r="M37" i="69" s="1"/>
  <c r="O37" i="69" s="1"/>
  <c r="L36" i="69"/>
  <c r="M36" i="69" s="1"/>
  <c r="O36" i="69" s="1"/>
  <c r="L35" i="69"/>
  <c r="M35" i="69" s="1"/>
  <c r="O35" i="69" s="1"/>
  <c r="L34" i="69"/>
  <c r="M34" i="69" s="1"/>
  <c r="O34" i="69" s="1"/>
  <c r="L33" i="69"/>
  <c r="M33" i="69" s="1"/>
  <c r="O33" i="69" s="1"/>
  <c r="L32" i="69"/>
  <c r="M32" i="69" s="1"/>
  <c r="O32" i="69" s="1"/>
  <c r="L31" i="69"/>
  <c r="M31" i="69" s="1"/>
  <c r="O31" i="69" s="1"/>
  <c r="L19" i="69"/>
  <c r="M19" i="69" s="1"/>
  <c r="O19" i="69" s="1"/>
  <c r="L20" i="69"/>
  <c r="M20" i="69" s="1"/>
  <c r="O20" i="69" s="1"/>
  <c r="L21" i="69"/>
  <c r="M21" i="69" s="1"/>
  <c r="O21" i="69" s="1"/>
  <c r="L22" i="69"/>
  <c r="M22" i="69" s="1"/>
  <c r="O22" i="69" s="1"/>
  <c r="L23" i="69"/>
  <c r="M23" i="69" s="1"/>
  <c r="O23" i="69" s="1"/>
  <c r="L25" i="69"/>
  <c r="M25" i="69" s="1"/>
  <c r="O25" i="69" s="1"/>
  <c r="L26" i="69"/>
  <c r="M26" i="69" s="1"/>
  <c r="O26" i="69" s="1"/>
  <c r="L27" i="69"/>
  <c r="M27" i="69" s="1"/>
  <c r="O27" i="69" s="1"/>
  <c r="L28" i="69"/>
  <c r="M28" i="69" s="1"/>
  <c r="O28" i="69" s="1"/>
  <c r="L29" i="69"/>
  <c r="M29" i="69" s="1"/>
  <c r="O29" i="69" s="1"/>
  <c r="L30" i="69"/>
  <c r="M30" i="69" s="1"/>
  <c r="O30" i="69" s="1"/>
  <c r="L17" i="69"/>
  <c r="M17" i="69" s="1"/>
  <c r="O17" i="69" s="1"/>
  <c r="L18" i="69"/>
  <c r="M18" i="69" s="1"/>
  <c r="O18" i="69" s="1"/>
  <c r="L15" i="69"/>
  <c r="M15" i="69" s="1"/>
  <c r="O15" i="69" s="1"/>
  <c r="L14" i="69"/>
  <c r="M14" i="69" s="1"/>
  <c r="O14" i="69" s="1"/>
  <c r="P15" i="69" l="1"/>
  <c r="H15" i="90"/>
  <c r="G15" i="90" s="1"/>
  <c r="H15" i="30"/>
  <c r="G15" i="30" s="1"/>
  <c r="I15" i="69" s="1"/>
  <c r="P17" i="69"/>
  <c r="H17" i="90"/>
  <c r="G17" i="90" s="1"/>
  <c r="H17" i="30"/>
  <c r="G17" i="30" s="1"/>
  <c r="I17" i="69" s="1"/>
  <c r="P29" i="69"/>
  <c r="H29" i="90"/>
  <c r="G29" i="90" s="1"/>
  <c r="H29" i="30"/>
  <c r="G29" i="30" s="1"/>
  <c r="I29" i="69" s="1"/>
  <c r="P27" i="69"/>
  <c r="H27" i="90"/>
  <c r="G27" i="90" s="1"/>
  <c r="H27" i="30"/>
  <c r="G27" i="30" s="1"/>
  <c r="I27" i="69" s="1"/>
  <c r="P25" i="69"/>
  <c r="H25" i="90"/>
  <c r="G25" i="90" s="1"/>
  <c r="H25" i="30"/>
  <c r="G25" i="30" s="1"/>
  <c r="I25" i="69" s="1"/>
  <c r="P22" i="69"/>
  <c r="H22" i="90"/>
  <c r="G22" i="90" s="1"/>
  <c r="H22" i="30"/>
  <c r="G22" i="30" s="1"/>
  <c r="I22" i="69" s="1"/>
  <c r="P20" i="69"/>
  <c r="H20" i="90"/>
  <c r="G20" i="90" s="1"/>
  <c r="H20" i="30"/>
  <c r="G20" i="30" s="1"/>
  <c r="I20" i="69" s="1"/>
  <c r="P31" i="69"/>
  <c r="H31" i="90"/>
  <c r="G31" i="90" s="1"/>
  <c r="H31" i="30"/>
  <c r="G31" i="30" s="1"/>
  <c r="I31" i="69" s="1"/>
  <c r="P33" i="69"/>
  <c r="H33" i="90"/>
  <c r="G33" i="90" s="1"/>
  <c r="H33" i="30"/>
  <c r="G33" i="30" s="1"/>
  <c r="I33" i="69" s="1"/>
  <c r="P35" i="69"/>
  <c r="H35" i="90"/>
  <c r="G35" i="90" s="1"/>
  <c r="H35" i="30"/>
  <c r="G35" i="30" s="1"/>
  <c r="I35" i="69" s="1"/>
  <c r="P37" i="69"/>
  <c r="G37" i="90"/>
  <c r="G37" i="30"/>
  <c r="I37" i="69" s="1"/>
  <c r="P39" i="69"/>
  <c r="H39" i="90"/>
  <c r="G39" i="90" s="1"/>
  <c r="H39" i="30"/>
  <c r="G39" i="30" s="1"/>
  <c r="I39" i="69" s="1"/>
  <c r="P42" i="69"/>
  <c r="H42" i="90"/>
  <c r="G42" i="90" s="1"/>
  <c r="H42" i="30"/>
  <c r="G42" i="30" s="1"/>
  <c r="I42" i="69" s="1"/>
  <c r="P44" i="69"/>
  <c r="H44" i="90"/>
  <c r="G44" i="90" s="1"/>
  <c r="H44" i="30"/>
  <c r="G44" i="30" s="1"/>
  <c r="I44" i="69" s="1"/>
  <c r="P46" i="69"/>
  <c r="H46" i="90"/>
  <c r="G46" i="90" s="1"/>
  <c r="H46" i="30"/>
  <c r="G46" i="30" s="1"/>
  <c r="I46" i="69" s="1"/>
  <c r="P65" i="69"/>
  <c r="H65" i="90"/>
  <c r="G65" i="90" s="1"/>
  <c r="H65" i="30"/>
  <c r="G65" i="30" s="1"/>
  <c r="I65" i="69" s="1"/>
  <c r="P63" i="69"/>
  <c r="H63" i="90"/>
  <c r="G63" i="90" s="1"/>
  <c r="H63" i="30"/>
  <c r="G63" i="30" s="1"/>
  <c r="I63" i="69" s="1"/>
  <c r="P61" i="69"/>
  <c r="H61" i="90"/>
  <c r="G61" i="90" s="1"/>
  <c r="H61" i="30"/>
  <c r="G61" i="30" s="1"/>
  <c r="I61" i="69" s="1"/>
  <c r="P58" i="69"/>
  <c r="H58" i="90"/>
  <c r="G58" i="90" s="1"/>
  <c r="H58" i="30"/>
  <c r="G58" i="30" s="1"/>
  <c r="I58" i="69" s="1"/>
  <c r="P55" i="69"/>
  <c r="G55" i="90"/>
  <c r="G55" i="30"/>
  <c r="I55" i="69" s="1"/>
  <c r="P53" i="69"/>
  <c r="H53" i="90"/>
  <c r="G53" i="90" s="1"/>
  <c r="H53" i="30"/>
  <c r="G53" i="30" s="1"/>
  <c r="I53" i="69" s="1"/>
  <c r="P51" i="69"/>
  <c r="H51" i="90"/>
  <c r="G51" i="90" s="1"/>
  <c r="G51" i="30"/>
  <c r="I51" i="69" s="1"/>
  <c r="P48" i="69"/>
  <c r="G48" i="90"/>
  <c r="G48" i="30"/>
  <c r="I48" i="69" s="1"/>
  <c r="P70" i="69"/>
  <c r="H70" i="90"/>
  <c r="G70" i="90" s="1"/>
  <c r="H70" i="30"/>
  <c r="G70" i="30" s="1"/>
  <c r="I70" i="69" s="1"/>
  <c r="P14" i="69"/>
  <c r="H14" i="90"/>
  <c r="G14" i="90" s="1"/>
  <c r="G14" i="30"/>
  <c r="I14" i="69" s="1"/>
  <c r="P18" i="69"/>
  <c r="H18" i="90"/>
  <c r="G18" i="90" s="1"/>
  <c r="H18" i="30"/>
  <c r="G18" i="30" s="1"/>
  <c r="I18" i="69" s="1"/>
  <c r="P30" i="69"/>
  <c r="H30" i="90"/>
  <c r="G30" i="90" s="1"/>
  <c r="H30" i="30"/>
  <c r="G30" i="30" s="1"/>
  <c r="I30" i="69" s="1"/>
  <c r="P28" i="69"/>
  <c r="H28" i="90"/>
  <c r="G28" i="90" s="1"/>
  <c r="H28" i="30"/>
  <c r="G28" i="30" s="1"/>
  <c r="I28" i="69" s="1"/>
  <c r="P26" i="69"/>
  <c r="H26" i="90"/>
  <c r="G26" i="90" s="1"/>
  <c r="H26" i="30"/>
  <c r="G26" i="30" s="1"/>
  <c r="I26" i="69" s="1"/>
  <c r="P23" i="69"/>
  <c r="H23" i="90"/>
  <c r="G23" i="90" s="1"/>
  <c r="H23" i="30"/>
  <c r="G23" i="30" s="1"/>
  <c r="I23" i="69" s="1"/>
  <c r="P21" i="69"/>
  <c r="G21" i="90"/>
  <c r="G21" i="30"/>
  <c r="I21" i="69" s="1"/>
  <c r="P19" i="69"/>
  <c r="H19" i="90"/>
  <c r="G19" i="90" s="1"/>
  <c r="H19" i="30"/>
  <c r="G19" i="30" s="1"/>
  <c r="I19" i="69" s="1"/>
  <c r="P32" i="69"/>
  <c r="G32" i="90"/>
  <c r="G32" i="30"/>
  <c r="I32" i="69" s="1"/>
  <c r="P34" i="69"/>
  <c r="H34" i="90"/>
  <c r="G34" i="90" s="1"/>
  <c r="H34" i="30"/>
  <c r="G34" i="30" s="1"/>
  <c r="I34" i="69" s="1"/>
  <c r="P36" i="69"/>
  <c r="H36" i="90"/>
  <c r="G36" i="90" s="1"/>
  <c r="H36" i="30"/>
  <c r="G36" i="30" s="1"/>
  <c r="I36" i="69" s="1"/>
  <c r="P38" i="69"/>
  <c r="H38" i="90"/>
  <c r="G38" i="90" s="1"/>
  <c r="H38" i="30"/>
  <c r="G38" i="30" s="1"/>
  <c r="I38" i="69" s="1"/>
  <c r="P41" i="69"/>
  <c r="H41" i="90"/>
  <c r="G41" i="90" s="1"/>
  <c r="H41" i="30"/>
  <c r="G41" i="30" s="1"/>
  <c r="I41" i="69" s="1"/>
  <c r="P43" i="69"/>
  <c r="H43" i="90"/>
  <c r="G43" i="90" s="1"/>
  <c r="H43" i="30"/>
  <c r="G43" i="30" s="1"/>
  <c r="I43" i="69" s="1"/>
  <c r="P45" i="69"/>
  <c r="H45" i="90"/>
  <c r="G45" i="90" s="1"/>
  <c r="H45" i="30"/>
  <c r="G45" i="30" s="1"/>
  <c r="I45" i="69" s="1"/>
  <c r="P66" i="69"/>
  <c r="H66" i="90"/>
  <c r="G66" i="90" s="1"/>
  <c r="H66" i="30"/>
  <c r="G66" i="30" s="1"/>
  <c r="I66" i="69" s="1"/>
  <c r="P64" i="69"/>
  <c r="H64" i="90"/>
  <c r="G64" i="90" s="1"/>
  <c r="H64" i="30"/>
  <c r="G64" i="30" s="1"/>
  <c r="I64" i="69" s="1"/>
  <c r="P62" i="69"/>
  <c r="H62" i="90"/>
  <c r="G62" i="90" s="1"/>
  <c r="H62" i="30"/>
  <c r="G62" i="30" s="1"/>
  <c r="I62" i="69" s="1"/>
  <c r="P60" i="69"/>
  <c r="H60" i="90"/>
  <c r="G60" i="90" s="1"/>
  <c r="H60" i="30"/>
  <c r="G60" i="30" s="1"/>
  <c r="I60" i="69" s="1"/>
  <c r="P56" i="69"/>
  <c r="G56" i="30"/>
  <c r="I56" i="69" s="1"/>
  <c r="G56" i="90"/>
  <c r="P54" i="69"/>
  <c r="H54" i="90"/>
  <c r="G54" i="90" s="1"/>
  <c r="H54" i="30"/>
  <c r="G54" i="30" s="1"/>
  <c r="I54" i="69" s="1"/>
  <c r="P52" i="69"/>
  <c r="H52" i="90"/>
  <c r="G52" i="90" s="1"/>
  <c r="H52" i="30"/>
  <c r="G52" i="30" s="1"/>
  <c r="I52" i="69" s="1"/>
  <c r="P49" i="69"/>
  <c r="G49" i="90"/>
  <c r="G49" i="30"/>
  <c r="I49" i="69" s="1"/>
  <c r="P47" i="69"/>
  <c r="H47" i="90"/>
  <c r="G47" i="90" s="1"/>
  <c r="H47" i="30"/>
  <c r="G47" i="30" s="1"/>
  <c r="I47" i="69" s="1"/>
  <c r="P67" i="69"/>
  <c r="G67" i="90"/>
  <c r="G67" i="30"/>
  <c r="I67" i="69" s="1"/>
  <c r="P44" i="70"/>
  <c r="I44" i="43"/>
  <c r="K248" i="76"/>
  <c r="K249" i="76" s="1"/>
  <c r="K254" i="76" s="1"/>
  <c r="K246" i="76"/>
  <c r="S29" i="88"/>
  <c r="T28" i="88"/>
  <c r="R28" i="88"/>
  <c r="R35" i="93"/>
  <c r="T35" i="93"/>
  <c r="T15" i="93"/>
  <c r="R15" i="93"/>
  <c r="Q41" i="92"/>
  <c r="S41" i="92"/>
  <c r="S16" i="92"/>
  <c r="Q16" i="92"/>
  <c r="Q62" i="91"/>
  <c r="S15" i="91"/>
  <c r="Q15" i="91"/>
  <c r="Q47" i="91"/>
  <c r="Q74" i="91"/>
  <c r="Q89" i="91"/>
  <c r="Q30" i="91"/>
  <c r="S60" i="90"/>
  <c r="Q60" i="90"/>
  <c r="S59" i="90"/>
  <c r="Q59" i="90"/>
  <c r="Q76" i="82"/>
  <c r="R77" i="82"/>
  <c r="Q77" i="82" s="1"/>
  <c r="R43" i="88"/>
  <c r="R9" i="88"/>
  <c r="T9" i="88"/>
  <c r="S11" i="88"/>
  <c r="T10" i="88"/>
  <c r="R10" i="88"/>
  <c r="L13" i="69"/>
  <c r="M13" i="69" s="1"/>
  <c r="O13" i="69" s="1"/>
  <c r="P13" i="69" l="1"/>
  <c r="H13" i="90"/>
  <c r="G13" i="90" s="1"/>
  <c r="H13" i="30"/>
  <c r="K263" i="76"/>
  <c r="K268" i="76" s="1"/>
  <c r="K269" i="76" s="1"/>
  <c r="K272" i="76" s="1"/>
  <c r="S30" i="88"/>
  <c r="R29" i="88"/>
  <c r="T29" i="88"/>
  <c r="R37" i="93"/>
  <c r="T37" i="93"/>
  <c r="T16" i="93"/>
  <c r="R16" i="93"/>
  <c r="Q42" i="92"/>
  <c r="S42" i="92"/>
  <c r="S17" i="92"/>
  <c r="Q17" i="92"/>
  <c r="Q31" i="91"/>
  <c r="Q90" i="91"/>
  <c r="S16" i="91"/>
  <c r="Q16" i="91"/>
  <c r="Q75" i="91"/>
  <c r="Q48" i="91"/>
  <c r="Q63" i="91"/>
  <c r="S62" i="90"/>
  <c r="Q62" i="90"/>
  <c r="S61" i="90"/>
  <c r="Q61" i="90"/>
  <c r="S12" i="88"/>
  <c r="T11" i="88"/>
  <c r="R11" i="88"/>
  <c r="L12" i="69"/>
  <c r="M12" i="69" s="1"/>
  <c r="O12" i="69" s="1"/>
  <c r="L10" i="69"/>
  <c r="M10" i="69" s="1"/>
  <c r="O10" i="69" s="1"/>
  <c r="L9" i="69"/>
  <c r="M9" i="69" s="1"/>
  <c r="O9" i="69" s="1"/>
  <c r="L8" i="69"/>
  <c r="M8" i="69" s="1"/>
  <c r="O8" i="69" s="1"/>
  <c r="G9" i="90" l="1"/>
  <c r="G9" i="30"/>
  <c r="G12" i="90"/>
  <c r="G12" i="30"/>
  <c r="I12" i="69" s="1"/>
  <c r="G8" i="90"/>
  <c r="G8" i="30"/>
  <c r="I8" i="69" s="1"/>
  <c r="G10" i="90"/>
  <c r="G10" i="30"/>
  <c r="I10" i="69" s="1"/>
  <c r="G13" i="30"/>
  <c r="H13" i="69"/>
  <c r="K270" i="76"/>
  <c r="K273" i="76" s="1"/>
  <c r="K274" i="76" s="1"/>
  <c r="T30" i="88"/>
  <c r="R30" i="88"/>
  <c r="S31" i="88"/>
  <c r="R39" i="93"/>
  <c r="T39" i="93"/>
  <c r="T17" i="93"/>
  <c r="R17" i="93"/>
  <c r="Q43" i="92"/>
  <c r="S43" i="92"/>
  <c r="S18" i="92"/>
  <c r="Q18" i="92"/>
  <c r="Q64" i="91"/>
  <c r="S17" i="91"/>
  <c r="Q17" i="91"/>
  <c r="Q49" i="91"/>
  <c r="Q76" i="91"/>
  <c r="Q91" i="91"/>
  <c r="Q32" i="91"/>
  <c r="S64" i="90"/>
  <c r="Q64" i="90"/>
  <c r="S63" i="90"/>
  <c r="Q63" i="90"/>
  <c r="S13" i="88"/>
  <c r="T12" i="88"/>
  <c r="R12" i="88"/>
  <c r="O29" i="64"/>
  <c r="M29" i="64"/>
  <c r="O29" i="84"/>
  <c r="O9" i="84"/>
  <c r="M9" i="84"/>
  <c r="N13" i="84"/>
  <c r="N15" i="84" s="1"/>
  <c r="P6" i="64"/>
  <c r="J7" i="84"/>
  <c r="K7" i="84" s="1"/>
  <c r="J7" i="64"/>
  <c r="K7" i="64" s="1"/>
  <c r="N112" i="84"/>
  <c r="O112" i="84" s="1"/>
  <c r="N95" i="84"/>
  <c r="N96" i="84" s="1"/>
  <c r="N79" i="84"/>
  <c r="N80" i="84" s="1"/>
  <c r="M112" i="84"/>
  <c r="O111" i="84"/>
  <c r="M111" i="84"/>
  <c r="O94" i="84"/>
  <c r="M94" i="84"/>
  <c r="M79" i="84"/>
  <c r="O78" i="84"/>
  <c r="M78" i="84"/>
  <c r="N63" i="84"/>
  <c r="N64" i="84" s="1"/>
  <c r="O62" i="84"/>
  <c r="M62" i="84"/>
  <c r="N47" i="84"/>
  <c r="N48" i="84" s="1"/>
  <c r="N49" i="84" s="1"/>
  <c r="O46" i="84"/>
  <c r="M46" i="84"/>
  <c r="O28" i="84"/>
  <c r="M28" i="84"/>
  <c r="O13" i="84"/>
  <c r="M13" i="84"/>
  <c r="O12" i="84"/>
  <c r="M12" i="84"/>
  <c r="O11" i="84"/>
  <c r="M11" i="84"/>
  <c r="O10" i="84"/>
  <c r="M10" i="84"/>
  <c r="O7" i="84"/>
  <c r="M7" i="84"/>
  <c r="N6" i="84"/>
  <c r="O5" i="84"/>
  <c r="M5" i="84"/>
  <c r="R34" i="83"/>
  <c r="R35" i="83" s="1"/>
  <c r="R9" i="83"/>
  <c r="R10" i="83" s="1"/>
  <c r="S49" i="83"/>
  <c r="Q49" i="83"/>
  <c r="S48" i="83"/>
  <c r="Q48" i="83"/>
  <c r="S34" i="83"/>
  <c r="Q34" i="83"/>
  <c r="S33" i="83"/>
  <c r="Q33" i="83"/>
  <c r="S9" i="83"/>
  <c r="Q9" i="83"/>
  <c r="S8" i="83"/>
  <c r="Q8" i="83"/>
  <c r="A4" i="83"/>
  <c r="R84" i="82"/>
  <c r="Q84" i="82" s="1"/>
  <c r="Q83" i="82"/>
  <c r="R68" i="82"/>
  <c r="R69" i="82" s="1"/>
  <c r="Q67" i="82"/>
  <c r="R57" i="82"/>
  <c r="Q57" i="82" s="1"/>
  <c r="Q56" i="82"/>
  <c r="R41" i="82"/>
  <c r="R42" i="82" s="1"/>
  <c r="Q40" i="82"/>
  <c r="R25" i="82"/>
  <c r="Q25" i="82" s="1"/>
  <c r="Q24" i="82"/>
  <c r="R9" i="82"/>
  <c r="R10" i="82" s="1"/>
  <c r="S8" i="82"/>
  <c r="Q8" i="82"/>
  <c r="A4" i="82"/>
  <c r="S15" i="30"/>
  <c r="Q15" i="30"/>
  <c r="G13" i="69" l="1"/>
  <c r="I13" i="69"/>
  <c r="K271" i="76"/>
  <c r="T6" i="44"/>
  <c r="T6" i="43"/>
  <c r="R36" i="83"/>
  <c r="S35" i="83"/>
  <c r="R11" i="83"/>
  <c r="S10" i="83"/>
  <c r="Q10" i="83"/>
  <c r="Q35" i="83"/>
  <c r="R31" i="88"/>
  <c r="T31" i="88"/>
  <c r="S32" i="88"/>
  <c r="S33" i="88" s="1"/>
  <c r="T18" i="93"/>
  <c r="R18" i="93"/>
  <c r="Q44" i="92"/>
  <c r="S44" i="92"/>
  <c r="S19" i="92"/>
  <c r="Q19" i="92"/>
  <c r="Q33" i="91"/>
  <c r="Q92" i="91"/>
  <c r="Q93" i="91"/>
  <c r="S18" i="91"/>
  <c r="Q18" i="91"/>
  <c r="Q77" i="91"/>
  <c r="Q50" i="91"/>
  <c r="Q65" i="91"/>
  <c r="Q66" i="91"/>
  <c r="S66" i="90"/>
  <c r="Q66" i="90"/>
  <c r="S65" i="90"/>
  <c r="Q65" i="90"/>
  <c r="M95" i="84"/>
  <c r="N97" i="84"/>
  <c r="M96" i="84"/>
  <c r="O96" i="84"/>
  <c r="N81" i="84"/>
  <c r="M80" i="84"/>
  <c r="O80" i="84"/>
  <c r="O79" i="84"/>
  <c r="O95" i="84"/>
  <c r="T13" i="88"/>
  <c r="R13" i="88"/>
  <c r="S14" i="88"/>
  <c r="M29" i="84"/>
  <c r="N17" i="84"/>
  <c r="M15" i="84"/>
  <c r="O15" i="84"/>
  <c r="N14" i="84"/>
  <c r="O97" i="84"/>
  <c r="N98" i="84"/>
  <c r="M97" i="84"/>
  <c r="O81" i="84"/>
  <c r="N82" i="84"/>
  <c r="M81" i="84"/>
  <c r="M47" i="84"/>
  <c r="O47" i="84"/>
  <c r="N65" i="84"/>
  <c r="O64" i="84"/>
  <c r="M64" i="84"/>
  <c r="O31" i="84"/>
  <c r="M31" i="84"/>
  <c r="N50" i="84"/>
  <c r="O49" i="84"/>
  <c r="M49" i="84"/>
  <c r="M6" i="84"/>
  <c r="O6" i="84"/>
  <c r="M30" i="84"/>
  <c r="O30" i="84"/>
  <c r="M48" i="84"/>
  <c r="O48" i="84"/>
  <c r="M63" i="84"/>
  <c r="O63" i="84"/>
  <c r="Q36" i="83"/>
  <c r="R37" i="83"/>
  <c r="S36" i="83"/>
  <c r="S11" i="83"/>
  <c r="R12" i="83"/>
  <c r="Q11" i="83"/>
  <c r="Q68" i="82"/>
  <c r="Q41" i="82"/>
  <c r="R11" i="82"/>
  <c r="S10" i="82"/>
  <c r="Q10" i="82"/>
  <c r="R70" i="82"/>
  <c r="Q69" i="82"/>
  <c r="R43" i="82"/>
  <c r="Q42" i="82"/>
  <c r="R26" i="82"/>
  <c r="R58" i="82"/>
  <c r="R85" i="82"/>
  <c r="Q9" i="82"/>
  <c r="S9" i="82"/>
  <c r="I8" i="71" l="1"/>
  <c r="I38" i="71"/>
  <c r="I40" i="71"/>
  <c r="I42" i="71"/>
  <c r="I44" i="71"/>
  <c r="I46" i="71"/>
  <c r="I48" i="71"/>
  <c r="I24" i="71"/>
  <c r="I26" i="71"/>
  <c r="I28" i="71"/>
  <c r="I30" i="71"/>
  <c r="I32" i="71"/>
  <c r="I34" i="71"/>
  <c r="I36" i="71"/>
  <c r="I10" i="71"/>
  <c r="I12" i="71"/>
  <c r="I14" i="71"/>
  <c r="I16" i="71"/>
  <c r="I18" i="71"/>
  <c r="I20" i="71"/>
  <c r="I22" i="71"/>
  <c r="I9" i="71"/>
  <c r="I39" i="71"/>
  <c r="I41" i="71"/>
  <c r="I43" i="71"/>
  <c r="I45" i="71"/>
  <c r="I47" i="71"/>
  <c r="I49" i="71"/>
  <c r="I25" i="71"/>
  <c r="I27" i="71"/>
  <c r="I29" i="71"/>
  <c r="I31" i="71"/>
  <c r="I33" i="71"/>
  <c r="I35" i="71"/>
  <c r="I37" i="71"/>
  <c r="I11" i="71"/>
  <c r="I13" i="71"/>
  <c r="I15" i="71"/>
  <c r="I17" i="71"/>
  <c r="I19" i="71"/>
  <c r="I21" i="71"/>
  <c r="I23" i="71"/>
  <c r="I83" i="70"/>
  <c r="I85" i="70"/>
  <c r="I87" i="70"/>
  <c r="I89" i="70"/>
  <c r="I91" i="70"/>
  <c r="I93" i="70"/>
  <c r="I70" i="70"/>
  <c r="I72" i="70"/>
  <c r="I74" i="70"/>
  <c r="I76" i="70"/>
  <c r="I78" i="70"/>
  <c r="I80" i="70"/>
  <c r="I82" i="70"/>
  <c r="I55" i="70"/>
  <c r="I57" i="70"/>
  <c r="I59" i="70"/>
  <c r="I61" i="70"/>
  <c r="I63" i="70"/>
  <c r="I65" i="70"/>
  <c r="I67" i="70"/>
  <c r="I41" i="70"/>
  <c r="I43" i="70"/>
  <c r="I45" i="70"/>
  <c r="I47" i="70"/>
  <c r="I49" i="70"/>
  <c r="I51" i="70"/>
  <c r="I53" i="70"/>
  <c r="I25" i="70"/>
  <c r="I27" i="70"/>
  <c r="I29" i="70"/>
  <c r="I31" i="70"/>
  <c r="I33" i="70"/>
  <c r="I35" i="70"/>
  <c r="I37" i="70"/>
  <c r="I39" i="70"/>
  <c r="I10" i="70"/>
  <c r="I12" i="70"/>
  <c r="I14" i="70"/>
  <c r="I16" i="70"/>
  <c r="I18" i="70"/>
  <c r="I20" i="70"/>
  <c r="I22" i="70"/>
  <c r="I9" i="70"/>
  <c r="I24" i="70"/>
  <c r="I30" i="70"/>
  <c r="I34" i="70"/>
  <c r="I38" i="70"/>
  <c r="I11" i="70"/>
  <c r="I15" i="70"/>
  <c r="I19" i="70"/>
  <c r="I21" i="70"/>
  <c r="I8" i="70"/>
  <c r="I84" i="70"/>
  <c r="I86" i="70"/>
  <c r="I88" i="70"/>
  <c r="I90" i="70"/>
  <c r="I92" i="70"/>
  <c r="I69" i="70"/>
  <c r="I71" i="70"/>
  <c r="I73" i="70"/>
  <c r="I75" i="70"/>
  <c r="I77" i="70"/>
  <c r="I79" i="70"/>
  <c r="I81" i="70"/>
  <c r="I54" i="70"/>
  <c r="I56" i="70"/>
  <c r="I58" i="70"/>
  <c r="I60" i="70"/>
  <c r="I62" i="70"/>
  <c r="I64" i="70"/>
  <c r="I66" i="70"/>
  <c r="I68" i="70"/>
  <c r="I42" i="70"/>
  <c r="I44" i="70"/>
  <c r="I46" i="70"/>
  <c r="I48" i="70"/>
  <c r="I50" i="70"/>
  <c r="I52" i="70"/>
  <c r="I26" i="70"/>
  <c r="I28" i="70"/>
  <c r="I32" i="70"/>
  <c r="I36" i="70"/>
  <c r="I40" i="70"/>
  <c r="I13" i="70"/>
  <c r="I17" i="70"/>
  <c r="I23" i="70"/>
  <c r="H22" i="71"/>
  <c r="H24" i="71"/>
  <c r="H26" i="71"/>
  <c r="H28" i="71"/>
  <c r="H30" i="71"/>
  <c r="H32" i="71"/>
  <c r="H27" i="71"/>
  <c r="H31" i="71"/>
  <c r="H23" i="71"/>
  <c r="H25" i="71"/>
  <c r="H29" i="71"/>
  <c r="H49" i="71"/>
  <c r="H34" i="71"/>
  <c r="H61" i="70"/>
  <c r="H57" i="70"/>
  <c r="H16" i="70"/>
  <c r="S34" i="88"/>
  <c r="T33" i="88"/>
  <c r="R33" i="88"/>
  <c r="H8" i="71"/>
  <c r="H10" i="71"/>
  <c r="H12" i="71"/>
  <c r="H14" i="71"/>
  <c r="H16" i="71"/>
  <c r="H18" i="71"/>
  <c r="H20" i="71"/>
  <c r="H33" i="71"/>
  <c r="H37" i="71"/>
  <c r="H45" i="71"/>
  <c r="H9" i="71"/>
  <c r="H11" i="71"/>
  <c r="H13" i="71"/>
  <c r="H15" i="71"/>
  <c r="H17" i="71"/>
  <c r="H19" i="71"/>
  <c r="H21" i="71"/>
  <c r="H36" i="71"/>
  <c r="H38" i="71"/>
  <c r="H40" i="71"/>
  <c r="H42" i="71"/>
  <c r="H44" i="71"/>
  <c r="H46" i="71"/>
  <c r="H48" i="71"/>
  <c r="H35" i="71"/>
  <c r="H39" i="71"/>
  <c r="H41" i="71"/>
  <c r="H43" i="71"/>
  <c r="H47" i="71"/>
  <c r="H10" i="70"/>
  <c r="H12" i="70"/>
  <c r="H14" i="70"/>
  <c r="H18" i="70"/>
  <c r="H20" i="70"/>
  <c r="H22" i="70"/>
  <c r="H24" i="70"/>
  <c r="H26" i="70"/>
  <c r="H28" i="70"/>
  <c r="H30" i="70"/>
  <c r="H32" i="70"/>
  <c r="H34" i="70"/>
  <c r="H36" i="70"/>
  <c r="H38" i="70"/>
  <c r="H40" i="70"/>
  <c r="H42" i="70"/>
  <c r="H44" i="70"/>
  <c r="H46" i="70"/>
  <c r="H48" i="70"/>
  <c r="H50" i="70"/>
  <c r="H52" i="70"/>
  <c r="H54" i="70"/>
  <c r="H56" i="70"/>
  <c r="H58" i="70"/>
  <c r="H60" i="70"/>
  <c r="H62" i="70"/>
  <c r="H64" i="70"/>
  <c r="H66" i="70"/>
  <c r="H67" i="70"/>
  <c r="H69" i="70"/>
  <c r="H71" i="70"/>
  <c r="H75" i="70"/>
  <c r="H83" i="70"/>
  <c r="H93" i="70"/>
  <c r="H9" i="70"/>
  <c r="H11" i="70"/>
  <c r="H13" i="70"/>
  <c r="H15" i="70"/>
  <c r="H17" i="70"/>
  <c r="H19" i="70"/>
  <c r="H21" i="70"/>
  <c r="H23" i="70"/>
  <c r="H25" i="70"/>
  <c r="H27" i="70"/>
  <c r="H29" i="70"/>
  <c r="H31" i="70"/>
  <c r="H33" i="70"/>
  <c r="H35" i="70"/>
  <c r="H37" i="70"/>
  <c r="H39" i="70"/>
  <c r="H41" i="70"/>
  <c r="H43" i="70"/>
  <c r="H45" i="70"/>
  <c r="H47" i="70"/>
  <c r="H49" i="70"/>
  <c r="H51" i="70"/>
  <c r="H53" i="70"/>
  <c r="H55" i="70"/>
  <c r="H59" i="70"/>
  <c r="H63" i="70"/>
  <c r="H65" i="70"/>
  <c r="H68" i="70"/>
  <c r="H70" i="70"/>
  <c r="H72" i="70"/>
  <c r="H74" i="70"/>
  <c r="H76" i="70"/>
  <c r="H78" i="70"/>
  <c r="H80" i="70"/>
  <c r="H82" i="70"/>
  <c r="H84" i="70"/>
  <c r="H86" i="70"/>
  <c r="H88" i="70"/>
  <c r="H90" i="70"/>
  <c r="H92" i="70"/>
  <c r="H8" i="70"/>
  <c r="H73" i="70"/>
  <c r="H77" i="70"/>
  <c r="H79" i="70"/>
  <c r="H81" i="70"/>
  <c r="H85" i="70"/>
  <c r="H87" i="70"/>
  <c r="H89" i="70"/>
  <c r="H91" i="70"/>
  <c r="T19" i="93"/>
  <c r="R19" i="93"/>
  <c r="Q45" i="92"/>
  <c r="S45" i="92"/>
  <c r="S20" i="92"/>
  <c r="Q20" i="92"/>
  <c r="S19" i="91"/>
  <c r="Q19" i="91"/>
  <c r="Q51" i="91"/>
  <c r="Q78" i="91"/>
  <c r="Q34" i="91"/>
  <c r="R9" i="87"/>
  <c r="R8" i="87"/>
  <c r="T14" i="88"/>
  <c r="R14" i="88"/>
  <c r="S15" i="88"/>
  <c r="N19" i="84"/>
  <c r="M17" i="84"/>
  <c r="O17" i="84"/>
  <c r="M14" i="84"/>
  <c r="N16" i="84"/>
  <c r="O14" i="84"/>
  <c r="N99" i="84"/>
  <c r="O98" i="84"/>
  <c r="M98" i="84"/>
  <c r="N83" i="84"/>
  <c r="O82" i="84"/>
  <c r="M82" i="84"/>
  <c r="N51" i="84"/>
  <c r="O50" i="84"/>
  <c r="M50" i="84"/>
  <c r="N66" i="84"/>
  <c r="O65" i="84"/>
  <c r="M65" i="84"/>
  <c r="O32" i="84"/>
  <c r="M32" i="84"/>
  <c r="R38" i="83"/>
  <c r="Q37" i="83"/>
  <c r="S37" i="83"/>
  <c r="R13" i="83"/>
  <c r="S12" i="83"/>
  <c r="Q12" i="83"/>
  <c r="Q58" i="82"/>
  <c r="R59" i="82"/>
  <c r="R12" i="82"/>
  <c r="S11" i="82"/>
  <c r="Q11" i="82"/>
  <c r="Q85" i="82"/>
  <c r="R86" i="82"/>
  <c r="Q26" i="82"/>
  <c r="R27" i="82"/>
  <c r="R44" i="82"/>
  <c r="Q43" i="82"/>
  <c r="R71" i="82"/>
  <c r="Q70" i="82"/>
  <c r="S8" i="87" l="1"/>
  <c r="Q8" i="87"/>
  <c r="S9" i="87"/>
  <c r="Q9" i="87"/>
  <c r="R34" i="88"/>
  <c r="S35" i="88"/>
  <c r="T34" i="88"/>
  <c r="T20" i="93"/>
  <c r="R20" i="93"/>
  <c r="Q46" i="92"/>
  <c r="S46" i="92"/>
  <c r="S21" i="92"/>
  <c r="Q21" i="92"/>
  <c r="Q35" i="91"/>
  <c r="S20" i="91"/>
  <c r="Q20" i="91"/>
  <c r="Q79" i="91"/>
  <c r="Q52" i="91"/>
  <c r="T15" i="88"/>
  <c r="R15" i="88"/>
  <c r="S16" i="88"/>
  <c r="M16" i="84"/>
  <c r="N18" i="84"/>
  <c r="O16" i="84"/>
  <c r="N21" i="84"/>
  <c r="M19" i="84"/>
  <c r="O19" i="84"/>
  <c r="O99" i="84"/>
  <c r="N100" i="84"/>
  <c r="M99" i="84"/>
  <c r="O83" i="84"/>
  <c r="N84" i="84"/>
  <c r="M83" i="84"/>
  <c r="O33" i="84"/>
  <c r="M33" i="84"/>
  <c r="N52" i="84"/>
  <c r="O51" i="84"/>
  <c r="M51" i="84"/>
  <c r="N67" i="84"/>
  <c r="O66" i="84"/>
  <c r="M66" i="84"/>
  <c r="Q38" i="83"/>
  <c r="R39" i="83"/>
  <c r="S38" i="83"/>
  <c r="S13" i="83"/>
  <c r="R14" i="83"/>
  <c r="Q13" i="83"/>
  <c r="Q27" i="82"/>
  <c r="R28" i="82"/>
  <c r="Q86" i="82"/>
  <c r="R87" i="82"/>
  <c r="R13" i="82"/>
  <c r="S12" i="82"/>
  <c r="Q12" i="82"/>
  <c r="R72" i="82"/>
  <c r="Q71" i="82"/>
  <c r="R45" i="82"/>
  <c r="Q44" i="82"/>
  <c r="Q59" i="82"/>
  <c r="R60" i="82"/>
  <c r="T35" i="88" l="1"/>
  <c r="S36" i="88"/>
  <c r="S37" i="88" s="1"/>
  <c r="R35" i="88"/>
  <c r="R21" i="93"/>
  <c r="Q47" i="92"/>
  <c r="S47" i="92"/>
  <c r="Q53" i="91"/>
  <c r="Q80" i="91"/>
  <c r="Q36" i="91"/>
  <c r="S21" i="91"/>
  <c r="Q21" i="91"/>
  <c r="T16" i="88"/>
  <c r="R16" i="88"/>
  <c r="S17" i="88"/>
  <c r="O35" i="84"/>
  <c r="M35" i="84"/>
  <c r="N23" i="84"/>
  <c r="M21" i="84"/>
  <c r="O21" i="84"/>
  <c r="M18" i="84"/>
  <c r="N20" i="84"/>
  <c r="O18" i="84"/>
  <c r="N101" i="84"/>
  <c r="O100" i="84"/>
  <c r="M100" i="84"/>
  <c r="N85" i="84"/>
  <c r="O84" i="84"/>
  <c r="M84" i="84"/>
  <c r="N68" i="84"/>
  <c r="O67" i="84"/>
  <c r="M67" i="84"/>
  <c r="O34" i="84"/>
  <c r="M34" i="84"/>
  <c r="N53" i="84"/>
  <c r="O52" i="84"/>
  <c r="M52" i="84"/>
  <c r="R40" i="83"/>
  <c r="Q39" i="83"/>
  <c r="S39" i="83"/>
  <c r="R15" i="83"/>
  <c r="S14" i="83"/>
  <c r="Q14" i="83"/>
  <c r="Q60" i="82"/>
  <c r="R61" i="82"/>
  <c r="R14" i="82"/>
  <c r="S13" i="82"/>
  <c r="Q13" i="82"/>
  <c r="R46" i="82"/>
  <c r="Q45" i="82"/>
  <c r="R78" i="82"/>
  <c r="Q72" i="82"/>
  <c r="Q87" i="82"/>
  <c r="R88" i="82"/>
  <c r="Q28" i="82"/>
  <c r="R29" i="82"/>
  <c r="R37" i="88" l="1"/>
  <c r="T37" i="88"/>
  <c r="S38" i="88"/>
  <c r="S39" i="88" s="1"/>
  <c r="T22" i="93"/>
  <c r="R22" i="93"/>
  <c r="Q37" i="91"/>
  <c r="S22" i="91"/>
  <c r="Q22" i="91"/>
  <c r="Q82" i="91"/>
  <c r="Q81" i="91"/>
  <c r="Q55" i="91"/>
  <c r="Q54" i="91"/>
  <c r="T17" i="88"/>
  <c r="R17" i="88"/>
  <c r="S18" i="88"/>
  <c r="M20" i="84"/>
  <c r="N22" i="84"/>
  <c r="O20" i="84"/>
  <c r="N25" i="84"/>
  <c r="M23" i="84"/>
  <c r="O23" i="84"/>
  <c r="O101" i="84"/>
  <c r="N102" i="84"/>
  <c r="M101" i="84"/>
  <c r="O85" i="84"/>
  <c r="N86" i="84"/>
  <c r="M85" i="84"/>
  <c r="N54" i="84"/>
  <c r="O53" i="84"/>
  <c r="M53" i="84"/>
  <c r="N69" i="84"/>
  <c r="O68" i="84"/>
  <c r="M68" i="84"/>
  <c r="O36" i="84"/>
  <c r="M36" i="84"/>
  <c r="Q40" i="83"/>
  <c r="R41" i="83"/>
  <c r="S40" i="83"/>
  <c r="S15" i="83"/>
  <c r="R16" i="83"/>
  <c r="Q15" i="83"/>
  <c r="Q29" i="82"/>
  <c r="R30" i="82"/>
  <c r="Q88" i="82"/>
  <c r="R89" i="82"/>
  <c r="R15" i="82"/>
  <c r="S14" i="82"/>
  <c r="Q14" i="82"/>
  <c r="R79" i="82"/>
  <c r="Q78" i="82"/>
  <c r="R47" i="82"/>
  <c r="Q46" i="82"/>
  <c r="Q61" i="82"/>
  <c r="R62" i="82"/>
  <c r="T39" i="88" l="1"/>
  <c r="R39" i="88"/>
  <c r="T23" i="93"/>
  <c r="R23" i="93"/>
  <c r="Q38" i="91"/>
  <c r="Q39" i="91"/>
  <c r="S23" i="91"/>
  <c r="Q23" i="91"/>
  <c r="T18" i="88"/>
  <c r="R18" i="88"/>
  <c r="S19" i="88"/>
  <c r="N27" i="84"/>
  <c r="M25" i="84"/>
  <c r="O25" i="84"/>
  <c r="M22" i="84"/>
  <c r="N24" i="84"/>
  <c r="O22" i="84"/>
  <c r="N103" i="84"/>
  <c r="O102" i="84"/>
  <c r="M102" i="84"/>
  <c r="N87" i="84"/>
  <c r="O86" i="84"/>
  <c r="M86" i="84"/>
  <c r="O37" i="84"/>
  <c r="M37" i="84"/>
  <c r="N55" i="84"/>
  <c r="O54" i="84"/>
  <c r="M54" i="84"/>
  <c r="N70" i="84"/>
  <c r="O69" i="84"/>
  <c r="M69" i="84"/>
  <c r="R42" i="83"/>
  <c r="Q41" i="83"/>
  <c r="S41" i="83"/>
  <c r="R17" i="83"/>
  <c r="S16" i="83"/>
  <c r="Q16" i="83"/>
  <c r="Q62" i="82"/>
  <c r="R63" i="82"/>
  <c r="R16" i="82"/>
  <c r="S15" i="82"/>
  <c r="Q15" i="82"/>
  <c r="R48" i="82"/>
  <c r="Q47" i="82"/>
  <c r="R80" i="82"/>
  <c r="Q79" i="82"/>
  <c r="Q89" i="82"/>
  <c r="R90" i="82"/>
  <c r="Q30" i="82"/>
  <c r="R31" i="82"/>
  <c r="T19" i="88" l="1"/>
  <c r="R19" i="88"/>
  <c r="S20" i="88"/>
  <c r="M24" i="84"/>
  <c r="N26" i="84"/>
  <c r="O24" i="84"/>
  <c r="O27" i="84"/>
  <c r="M27" i="84"/>
  <c r="O103" i="84"/>
  <c r="N104" i="84"/>
  <c r="M103" i="84"/>
  <c r="O87" i="84"/>
  <c r="N88" i="84"/>
  <c r="M87" i="84"/>
  <c r="N71" i="84"/>
  <c r="O70" i="84"/>
  <c r="M70" i="84"/>
  <c r="O38" i="84"/>
  <c r="M38" i="84"/>
  <c r="N56" i="84"/>
  <c r="O55" i="84"/>
  <c r="M55" i="84"/>
  <c r="Q42" i="83"/>
  <c r="R43" i="83"/>
  <c r="S42" i="83"/>
  <c r="S17" i="83"/>
  <c r="R18" i="83"/>
  <c r="Q17" i="83"/>
  <c r="Q31" i="82"/>
  <c r="R32" i="82"/>
  <c r="Q90" i="82"/>
  <c r="R91" i="82"/>
  <c r="R17" i="82"/>
  <c r="S16" i="82"/>
  <c r="Q16" i="82"/>
  <c r="R81" i="82"/>
  <c r="Q80" i="82"/>
  <c r="R49" i="82"/>
  <c r="Q48" i="82"/>
  <c r="Q63" i="82"/>
  <c r="R64" i="82"/>
  <c r="R65" i="82" s="1"/>
  <c r="R66" i="82" s="1"/>
  <c r="S21" i="88" l="1"/>
  <c r="T20" i="88"/>
  <c r="R20" i="88"/>
  <c r="M26" i="84"/>
  <c r="O26" i="84"/>
  <c r="N105" i="84"/>
  <c r="O104" i="84"/>
  <c r="M104" i="84"/>
  <c r="N89" i="84"/>
  <c r="O88" i="84"/>
  <c r="M88" i="84"/>
  <c r="N57" i="84"/>
  <c r="O56" i="84"/>
  <c r="M56" i="84"/>
  <c r="N72" i="84"/>
  <c r="O71" i="84"/>
  <c r="M71" i="84"/>
  <c r="O39" i="84"/>
  <c r="M39" i="84"/>
  <c r="R44" i="83"/>
  <c r="Q43" i="83"/>
  <c r="S43" i="83"/>
  <c r="R19" i="83"/>
  <c r="S18" i="83"/>
  <c r="Q18" i="83"/>
  <c r="Q64" i="82"/>
  <c r="R18" i="82"/>
  <c r="S17" i="82"/>
  <c r="Q17" i="82"/>
  <c r="R50" i="82"/>
  <c r="Q49" i="82"/>
  <c r="R82" i="82"/>
  <c r="Q82" i="82" s="1"/>
  <c r="Q81" i="82"/>
  <c r="Q91" i="82"/>
  <c r="R92" i="82"/>
  <c r="Q32" i="82"/>
  <c r="R33" i="82"/>
  <c r="S22" i="88" l="1"/>
  <c r="R21" i="88"/>
  <c r="O105" i="84"/>
  <c r="N106" i="84"/>
  <c r="M105" i="84"/>
  <c r="O89" i="84"/>
  <c r="N90" i="84"/>
  <c r="M89" i="84"/>
  <c r="O40" i="84"/>
  <c r="M40" i="84"/>
  <c r="N58" i="84"/>
  <c r="O57" i="84"/>
  <c r="M57" i="84"/>
  <c r="N73" i="84"/>
  <c r="O72" i="84"/>
  <c r="M72" i="84"/>
  <c r="Q44" i="83"/>
  <c r="R45" i="83"/>
  <c r="S44" i="83"/>
  <c r="S19" i="83"/>
  <c r="R20" i="83"/>
  <c r="Q19" i="83"/>
  <c r="Q33" i="82"/>
  <c r="R34" i="82"/>
  <c r="Q92" i="82"/>
  <c r="R93" i="82"/>
  <c r="Q93" i="82" s="1"/>
  <c r="R19" i="82"/>
  <c r="S18" i="82"/>
  <c r="Q18" i="82"/>
  <c r="R51" i="82"/>
  <c r="Q50" i="82"/>
  <c r="Q65" i="82"/>
  <c r="Q66" i="82"/>
  <c r="T22" i="88" l="1"/>
  <c r="R22" i="88"/>
  <c r="S23" i="88"/>
  <c r="N107" i="84"/>
  <c r="O106" i="84"/>
  <c r="M106" i="84"/>
  <c r="N91" i="84"/>
  <c r="O90" i="84"/>
  <c r="M90" i="84"/>
  <c r="N74" i="84"/>
  <c r="O73" i="84"/>
  <c r="M73" i="84"/>
  <c r="O41" i="84"/>
  <c r="M41" i="84"/>
  <c r="N59" i="84"/>
  <c r="O58" i="84"/>
  <c r="M58" i="84"/>
  <c r="R46" i="83"/>
  <c r="Q45" i="83"/>
  <c r="S45" i="83"/>
  <c r="R21" i="83"/>
  <c r="S20" i="83"/>
  <c r="Q20" i="83"/>
  <c r="R20" i="82"/>
  <c r="S19" i="82"/>
  <c r="Q19" i="82"/>
  <c r="R52" i="82"/>
  <c r="Q51" i="82"/>
  <c r="Q34" i="82"/>
  <c r="R35" i="82"/>
  <c r="T23" i="88" l="1"/>
  <c r="R23" i="88"/>
  <c r="O107" i="84"/>
  <c r="N108" i="84"/>
  <c r="M107" i="84"/>
  <c r="O91" i="84"/>
  <c r="N92" i="84"/>
  <c r="M91" i="84"/>
  <c r="N60" i="84"/>
  <c r="O59" i="84"/>
  <c r="M59" i="84"/>
  <c r="N75" i="84"/>
  <c r="O74" i="84"/>
  <c r="M74" i="84"/>
  <c r="O42" i="84"/>
  <c r="M42" i="84"/>
  <c r="Q46" i="83"/>
  <c r="R47" i="83"/>
  <c r="S46" i="83"/>
  <c r="S21" i="83"/>
  <c r="Q21" i="83"/>
  <c r="Q35" i="82"/>
  <c r="R36" i="82"/>
  <c r="R21" i="82"/>
  <c r="S20" i="82"/>
  <c r="Q20" i="82"/>
  <c r="R53" i="82"/>
  <c r="Q52" i="82"/>
  <c r="N109" i="84" l="1"/>
  <c r="O108" i="84"/>
  <c r="M108" i="84"/>
  <c r="N93" i="84"/>
  <c r="O92" i="84"/>
  <c r="M92" i="84"/>
  <c r="N76" i="84"/>
  <c r="O75" i="84"/>
  <c r="M75" i="84"/>
  <c r="O43" i="84"/>
  <c r="M43" i="84"/>
  <c r="N61" i="84"/>
  <c r="O60" i="84"/>
  <c r="M60" i="84"/>
  <c r="Q47" i="83"/>
  <c r="S47" i="83"/>
  <c r="R22" i="82"/>
  <c r="S21" i="82"/>
  <c r="Q21" i="82"/>
  <c r="R54" i="82"/>
  <c r="Q53" i="82"/>
  <c r="Q36" i="82"/>
  <c r="R37" i="82"/>
  <c r="O109" i="84" l="1"/>
  <c r="M109" i="84"/>
  <c r="O93" i="84"/>
  <c r="M93" i="84"/>
  <c r="O44" i="84"/>
  <c r="M44" i="84"/>
  <c r="O61" i="84"/>
  <c r="M61" i="84"/>
  <c r="N77" i="84"/>
  <c r="O76" i="84"/>
  <c r="M76" i="84"/>
  <c r="Q37" i="82"/>
  <c r="R38" i="82"/>
  <c r="R23" i="82"/>
  <c r="S22" i="82"/>
  <c r="Q22" i="82"/>
  <c r="R55" i="82"/>
  <c r="Q55" i="82" s="1"/>
  <c r="Q54" i="82"/>
  <c r="O45" i="84" l="1"/>
  <c r="M45" i="84"/>
  <c r="O77" i="84"/>
  <c r="M77" i="84"/>
  <c r="S23" i="82"/>
  <c r="Q23" i="82"/>
  <c r="Q38" i="82"/>
  <c r="R39" i="82"/>
  <c r="Q39" i="82" s="1"/>
  <c r="S14" i="81"/>
  <c r="Q14" i="81"/>
  <c r="R18" i="81"/>
  <c r="R19" i="81" s="1"/>
  <c r="R20" i="81" s="1"/>
  <c r="R21" i="81" s="1"/>
  <c r="R23" i="81" s="1"/>
  <c r="R24" i="81" s="1"/>
  <c r="R25" i="81" s="1"/>
  <c r="R26" i="81" s="1"/>
  <c r="R27" i="81" s="1"/>
  <c r="R28" i="81" s="1"/>
  <c r="R29" i="81" s="1"/>
  <c r="R30" i="81" s="1"/>
  <c r="R31" i="81" s="1"/>
  <c r="F51" i="69" l="1"/>
  <c r="F69" i="69" l="1"/>
  <c r="F57" i="69"/>
  <c r="F59" i="69"/>
  <c r="F40" i="69"/>
  <c r="F24" i="69"/>
  <c r="A79" i="69"/>
  <c r="F11" i="69"/>
  <c r="F13" i="69"/>
  <c r="F15" i="69"/>
  <c r="F18" i="69"/>
  <c r="F20" i="69"/>
  <c r="F23" i="69"/>
  <c r="F25" i="69"/>
  <c r="F27" i="69"/>
  <c r="F29" i="69"/>
  <c r="F31" i="69"/>
  <c r="F34" i="69"/>
  <c r="F36" i="69"/>
  <c r="F39" i="69"/>
  <c r="F41" i="69"/>
  <c r="F43" i="69"/>
  <c r="F45" i="69"/>
  <c r="F47" i="69"/>
  <c r="F49" i="69"/>
  <c r="F53" i="69"/>
  <c r="F55" i="69"/>
  <c r="F61" i="69"/>
  <c r="F63" i="69"/>
  <c r="F65" i="69"/>
  <c r="F67" i="69"/>
  <c r="F70" i="69"/>
  <c r="F8" i="69"/>
  <c r="F10" i="69"/>
  <c r="F12" i="69"/>
  <c r="F14" i="69"/>
  <c r="F17" i="69"/>
  <c r="F19" i="69"/>
  <c r="F21" i="69"/>
  <c r="F22" i="69"/>
  <c r="F26" i="69"/>
  <c r="F28" i="69"/>
  <c r="F30" i="69"/>
  <c r="F32" i="69"/>
  <c r="F33" i="69"/>
  <c r="F35" i="69"/>
  <c r="F37" i="69"/>
  <c r="F38" i="69"/>
  <c r="F42" i="69"/>
  <c r="F44" i="69"/>
  <c r="F46" i="69"/>
  <c r="F48" i="69"/>
  <c r="F50" i="69"/>
  <c r="F52" i="69"/>
  <c r="F54" i="69"/>
  <c r="F56" i="69"/>
  <c r="F58" i="69"/>
  <c r="F60" i="69"/>
  <c r="F62" i="69"/>
  <c r="F64" i="69"/>
  <c r="F66" i="69"/>
  <c r="F68" i="69"/>
  <c r="F9" i="69"/>
  <c r="S70" i="81"/>
  <c r="Q70" i="81"/>
  <c r="S67" i="81"/>
  <c r="Q67" i="81"/>
  <c r="S50" i="81"/>
  <c r="S48" i="81"/>
  <c r="Q48" i="81"/>
  <c r="S47" i="81"/>
  <c r="Q47" i="81"/>
  <c r="S46" i="81"/>
  <c r="Q46" i="81"/>
  <c r="S45" i="81"/>
  <c r="Q45" i="81"/>
  <c r="S44" i="81"/>
  <c r="Q44" i="81"/>
  <c r="S43" i="81"/>
  <c r="Q43" i="81"/>
  <c r="S42" i="81"/>
  <c r="Q42" i="81"/>
  <c r="S41" i="81"/>
  <c r="Q41" i="81"/>
  <c r="S40" i="81"/>
  <c r="Q40" i="81"/>
  <c r="S39" i="81"/>
  <c r="Q39" i="81"/>
  <c r="S38" i="81"/>
  <c r="Q38" i="81"/>
  <c r="S37" i="81"/>
  <c r="Q37" i="81"/>
  <c r="S36" i="81"/>
  <c r="Q36" i="81"/>
  <c r="S35" i="81"/>
  <c r="Q35" i="81"/>
  <c r="S34" i="81"/>
  <c r="Q34" i="81"/>
  <c r="S33" i="81"/>
  <c r="Q33" i="81"/>
  <c r="S32" i="81"/>
  <c r="Q32" i="81"/>
  <c r="S31" i="81"/>
  <c r="Q31" i="81"/>
  <c r="S30" i="81"/>
  <c r="Q30" i="81"/>
  <c r="S29" i="81"/>
  <c r="Q29" i="81"/>
  <c r="S28" i="81"/>
  <c r="Q28" i="81"/>
  <c r="S27" i="81"/>
  <c r="Q27" i="81"/>
  <c r="S26" i="81"/>
  <c r="Q26" i="81"/>
  <c r="S25" i="81"/>
  <c r="Q25" i="81"/>
  <c r="S24" i="81"/>
  <c r="Q24" i="81"/>
  <c r="S23" i="81"/>
  <c r="Q23" i="81"/>
  <c r="S22" i="81"/>
  <c r="Q22" i="81"/>
  <c r="S21" i="81"/>
  <c r="Q21" i="81"/>
  <c r="S20" i="81"/>
  <c r="Q20" i="81"/>
  <c r="S19" i="81"/>
  <c r="Q19" i="81"/>
  <c r="S18" i="81"/>
  <c r="Q18" i="81"/>
  <c r="S17" i="81"/>
  <c r="Q17" i="81"/>
  <c r="S15" i="81"/>
  <c r="Q15" i="81"/>
  <c r="S13" i="81"/>
  <c r="Q13" i="81"/>
  <c r="S11" i="81"/>
  <c r="L11" i="81"/>
  <c r="Q11" i="81" s="1"/>
  <c r="K11" i="81"/>
  <c r="S10" i="81"/>
  <c r="Q10" i="81"/>
  <c r="S9" i="81"/>
  <c r="Q9" i="81"/>
  <c r="S8" i="81"/>
  <c r="Q8" i="81"/>
  <c r="A53" i="79" l="1"/>
  <c r="A27" i="95"/>
  <c r="A19" i="87"/>
  <c r="A102" i="70"/>
  <c r="A59" i="71"/>
  <c r="R52" i="81"/>
  <c r="S52" i="81" s="1"/>
  <c r="Q50" i="81"/>
  <c r="R54" i="81"/>
  <c r="N11" i="81"/>
  <c r="O11" i="81" s="1"/>
  <c r="R53" i="81"/>
  <c r="Q51" i="81"/>
  <c r="S51" i="81"/>
  <c r="C408" i="76"/>
  <c r="C407" i="76"/>
  <c r="C404" i="76"/>
  <c r="C384" i="76"/>
  <c r="C383" i="76"/>
  <c r="C380" i="76"/>
  <c r="C372" i="76"/>
  <c r="C371" i="76"/>
  <c r="C368" i="76"/>
  <c r="C360" i="76"/>
  <c r="C359" i="76"/>
  <c r="C356" i="76"/>
  <c r="C348" i="76"/>
  <c r="C347" i="76"/>
  <c r="C344" i="76"/>
  <c r="C336" i="76"/>
  <c r="C332" i="76"/>
  <c r="Q52" i="81" l="1"/>
  <c r="S53" i="81"/>
  <c r="Q53" i="81"/>
  <c r="R56" i="81"/>
  <c r="S54" i="81"/>
  <c r="Q54" i="81"/>
  <c r="C335" i="76"/>
  <c r="C194" i="76"/>
  <c r="C195" i="76"/>
  <c r="C191" i="76"/>
  <c r="C182" i="76"/>
  <c r="C183" i="76"/>
  <c r="C179" i="76"/>
  <c r="C170" i="76"/>
  <c r="C171" i="76"/>
  <c r="C167" i="76"/>
  <c r="R57" i="81" l="1"/>
  <c r="S55" i="81"/>
  <c r="Q55" i="81"/>
  <c r="R58" i="81"/>
  <c r="S56" i="81"/>
  <c r="Q56" i="81"/>
  <c r="C158" i="76"/>
  <c r="C159" i="76"/>
  <c r="C155" i="76"/>
  <c r="C146" i="76"/>
  <c r="C147" i="76"/>
  <c r="C143" i="76"/>
  <c r="C122" i="76"/>
  <c r="C123" i="76"/>
  <c r="C110" i="76"/>
  <c r="C111" i="76"/>
  <c r="C107" i="76"/>
  <c r="S57" i="81" l="1"/>
  <c r="Q57" i="81"/>
  <c r="R59" i="81"/>
  <c r="R60" i="81"/>
  <c r="S58" i="81"/>
  <c r="Q58" i="81"/>
  <c r="Q83" i="43"/>
  <c r="Q67" i="43"/>
  <c r="R49" i="80"/>
  <c r="R48" i="80"/>
  <c r="R47" i="80"/>
  <c r="R46" i="80"/>
  <c r="R45" i="80"/>
  <c r="T43" i="80"/>
  <c r="T42" i="80"/>
  <c r="R42" i="80"/>
  <c r="T41" i="80"/>
  <c r="R41" i="80"/>
  <c r="T40" i="80"/>
  <c r="R40" i="80"/>
  <c r="T39" i="80"/>
  <c r="R39" i="80"/>
  <c r="T37" i="80"/>
  <c r="R37" i="80"/>
  <c r="T35" i="80"/>
  <c r="R35" i="80"/>
  <c r="T34" i="80"/>
  <c r="R34" i="80"/>
  <c r="T33" i="80"/>
  <c r="R33" i="80"/>
  <c r="T31" i="80"/>
  <c r="R31" i="80"/>
  <c r="T30" i="80"/>
  <c r="R30" i="80"/>
  <c r="T29" i="80"/>
  <c r="R29" i="80"/>
  <c r="T28" i="80"/>
  <c r="R28" i="80"/>
  <c r="T27" i="80"/>
  <c r="R27" i="80"/>
  <c r="T26" i="80"/>
  <c r="R26" i="80"/>
  <c r="T8" i="80"/>
  <c r="R8" i="80"/>
  <c r="A3" i="79"/>
  <c r="W7" i="80" s="1"/>
  <c r="P12" i="69"/>
  <c r="L11" i="30"/>
  <c r="N11" i="30" s="1"/>
  <c r="O11" i="30" s="1"/>
  <c r="K11" i="30"/>
  <c r="M8" i="74"/>
  <c r="N8" i="74"/>
  <c r="T10" i="80" l="1"/>
  <c r="Q84" i="43"/>
  <c r="Q68" i="43"/>
  <c r="W8" i="80"/>
  <c r="S8" i="79" s="1"/>
  <c r="W23" i="80"/>
  <c r="S23" i="79" s="1"/>
  <c r="W31" i="80"/>
  <c r="S31" i="79" s="1"/>
  <c r="W35" i="80"/>
  <c r="S35" i="79" s="1"/>
  <c r="W42" i="80"/>
  <c r="S42" i="79" s="1"/>
  <c r="W30" i="80"/>
  <c r="S30" i="79" s="1"/>
  <c r="W34" i="80"/>
  <c r="S34" i="79" s="1"/>
  <c r="W37" i="80"/>
  <c r="S37" i="79" s="1"/>
  <c r="W39" i="80"/>
  <c r="S39" i="79" s="1"/>
  <c r="W43" i="80"/>
  <c r="S43" i="79" s="1"/>
  <c r="W19" i="80"/>
  <c r="S19" i="79" s="1"/>
  <c r="W15" i="80"/>
  <c r="S15" i="79" s="1"/>
  <c r="W11" i="80"/>
  <c r="S11" i="79" s="1"/>
  <c r="W24" i="80"/>
  <c r="S24" i="79" s="1"/>
  <c r="W20" i="80"/>
  <c r="S20" i="79" s="1"/>
  <c r="W16" i="80"/>
  <c r="S16" i="79" s="1"/>
  <c r="W29" i="80"/>
  <c r="S29" i="79" s="1"/>
  <c r="W33" i="80"/>
  <c r="S33" i="79" s="1"/>
  <c r="W40" i="80"/>
  <c r="S40" i="79" s="1"/>
  <c r="W27" i="80"/>
  <c r="S27" i="79" s="1"/>
  <c r="W32" i="80"/>
  <c r="S32" i="79" s="1"/>
  <c r="W36" i="80"/>
  <c r="S36" i="79" s="1"/>
  <c r="W38" i="80"/>
  <c r="S38" i="79" s="1"/>
  <c r="W41" i="80"/>
  <c r="S41" i="79" s="1"/>
  <c r="W25" i="80"/>
  <c r="S25" i="79" s="1"/>
  <c r="W26" i="80"/>
  <c r="S26" i="79" s="1"/>
  <c r="W21" i="80"/>
  <c r="S21" i="79" s="1"/>
  <c r="W17" i="80"/>
  <c r="S17" i="79" s="1"/>
  <c r="W13" i="80"/>
  <c r="S13" i="79" s="1"/>
  <c r="W9" i="80"/>
  <c r="S9" i="79" s="1"/>
  <c r="W28" i="80"/>
  <c r="S28" i="79" s="1"/>
  <c r="W22" i="80"/>
  <c r="S22" i="79" s="1"/>
  <c r="W18" i="80"/>
  <c r="S18" i="79" s="1"/>
  <c r="W14" i="80"/>
  <c r="S14" i="79" s="1"/>
  <c r="W10" i="80"/>
  <c r="S10" i="79" s="1"/>
  <c r="W12" i="80"/>
  <c r="S12" i="79" s="1"/>
  <c r="R43" i="80"/>
  <c r="R9" i="80"/>
  <c r="T9" i="80"/>
  <c r="B3" i="79"/>
  <c r="S59" i="81"/>
  <c r="Q59" i="81"/>
  <c r="R61" i="81"/>
  <c r="R62" i="81"/>
  <c r="S60" i="81"/>
  <c r="Q60" i="81"/>
  <c r="O93" i="70"/>
  <c r="P93" i="70" s="1"/>
  <c r="R10" i="80"/>
  <c r="N30" i="64"/>
  <c r="N31" i="64" s="1"/>
  <c r="J56" i="69"/>
  <c r="J49" i="69"/>
  <c r="S50" i="30"/>
  <c r="Q9" i="43"/>
  <c r="S11" i="30"/>
  <c r="Q11" i="30"/>
  <c r="N63" i="64"/>
  <c r="N64" i="64" s="1"/>
  <c r="N65" i="64" s="1"/>
  <c r="N66" i="64" s="1"/>
  <c r="N67" i="64" s="1"/>
  <c r="N68" i="64" s="1"/>
  <c r="N69" i="64" s="1"/>
  <c r="N70" i="64" s="1"/>
  <c r="N71" i="64" s="1"/>
  <c r="N47" i="64"/>
  <c r="N48" i="64" s="1"/>
  <c r="N6" i="64"/>
  <c r="N9" i="64" s="1"/>
  <c r="O9" i="64" s="1"/>
  <c r="U7" i="64"/>
  <c r="A4" i="74"/>
  <c r="V10" i="74" s="1"/>
  <c r="V11" i="74" s="1"/>
  <c r="N11" i="74" s="1"/>
  <c r="T5" i="72"/>
  <c r="S5" i="72"/>
  <c r="A3" i="72"/>
  <c r="W7" i="72" s="1"/>
  <c r="A3" i="71"/>
  <c r="V7" i="44" s="1"/>
  <c r="A3" i="70"/>
  <c r="V7" i="43" s="1"/>
  <c r="A3" i="69"/>
  <c r="V7" i="30" s="1"/>
  <c r="U12" i="74"/>
  <c r="U13" i="74"/>
  <c r="S70" i="30"/>
  <c r="S67" i="30"/>
  <c r="Q70" i="30"/>
  <c r="Q67" i="30"/>
  <c r="O12" i="64"/>
  <c r="M12" i="64"/>
  <c r="O5" i="64"/>
  <c r="M5" i="64"/>
  <c r="S10" i="30"/>
  <c r="Q10" i="30"/>
  <c r="K217" i="76"/>
  <c r="K218" i="76" s="1"/>
  <c r="A6" i="51"/>
  <c r="A4" i="46"/>
  <c r="A4" i="44"/>
  <c r="A4" i="43"/>
  <c r="A5" i="74"/>
  <c r="A4" i="72"/>
  <c r="U14" i="74"/>
  <c r="U15" i="74"/>
  <c r="U16" i="74"/>
  <c r="U17" i="74"/>
  <c r="U18" i="74"/>
  <c r="U19" i="74"/>
  <c r="U20" i="74"/>
  <c r="U11" i="74"/>
  <c r="W5" i="72"/>
  <c r="O10" i="64"/>
  <c r="O11" i="64"/>
  <c r="O13" i="64"/>
  <c r="O14" i="64"/>
  <c r="O15" i="64"/>
  <c r="O16" i="64"/>
  <c r="O17" i="64"/>
  <c r="O18" i="64"/>
  <c r="O19" i="64"/>
  <c r="O20" i="64"/>
  <c r="O21" i="64"/>
  <c r="O22" i="64"/>
  <c r="O23" i="64"/>
  <c r="O24" i="64"/>
  <c r="O25" i="64"/>
  <c r="O26" i="64"/>
  <c r="O27" i="64"/>
  <c r="O28" i="64"/>
  <c r="O30" i="64"/>
  <c r="O46" i="64"/>
  <c r="O47" i="64"/>
  <c r="O62" i="64"/>
  <c r="O63" i="64"/>
  <c r="O64" i="64"/>
  <c r="O65" i="64"/>
  <c r="O66" i="64"/>
  <c r="O67" i="64"/>
  <c r="O68" i="64"/>
  <c r="O69" i="64"/>
  <c r="O70" i="64"/>
  <c r="O71" i="64"/>
  <c r="O78" i="64"/>
  <c r="O79" i="64"/>
  <c r="O80" i="64"/>
  <c r="O81" i="64"/>
  <c r="O82" i="64"/>
  <c r="O83" i="64"/>
  <c r="O84" i="64"/>
  <c r="O85" i="64"/>
  <c r="O86" i="64"/>
  <c r="O87" i="64"/>
  <c r="O88" i="64"/>
  <c r="O89" i="64"/>
  <c r="O90" i="64"/>
  <c r="O91" i="64"/>
  <c r="O92" i="64"/>
  <c r="O93" i="64"/>
  <c r="O94" i="64"/>
  <c r="O95" i="64"/>
  <c r="O96" i="64"/>
  <c r="O97" i="64"/>
  <c r="O98" i="64"/>
  <c r="O99" i="64"/>
  <c r="O100" i="64"/>
  <c r="O101" i="64"/>
  <c r="O102" i="64"/>
  <c r="O103" i="64"/>
  <c r="O104" i="64"/>
  <c r="O105" i="64"/>
  <c r="O106" i="64"/>
  <c r="O107" i="64"/>
  <c r="O108" i="64"/>
  <c r="O109" i="64"/>
  <c r="O111" i="64"/>
  <c r="O112" i="64"/>
  <c r="O7" i="64"/>
  <c r="M9" i="64"/>
  <c r="M10" i="64"/>
  <c r="M11" i="64"/>
  <c r="M13" i="64"/>
  <c r="M14" i="64"/>
  <c r="M15" i="64"/>
  <c r="M16" i="64"/>
  <c r="M17" i="64"/>
  <c r="M18" i="64"/>
  <c r="M19" i="64"/>
  <c r="M21" i="64"/>
  <c r="M22" i="64"/>
  <c r="M23" i="64"/>
  <c r="M24" i="64"/>
  <c r="M25" i="64"/>
  <c r="M26" i="64"/>
  <c r="M27" i="64"/>
  <c r="M28" i="64"/>
  <c r="M30" i="64"/>
  <c r="M46" i="64"/>
  <c r="M47" i="64"/>
  <c r="M62" i="64"/>
  <c r="M63" i="64"/>
  <c r="M64" i="64"/>
  <c r="M65" i="64"/>
  <c r="M66" i="64"/>
  <c r="M67" i="64"/>
  <c r="M68" i="64"/>
  <c r="M69" i="64"/>
  <c r="M70" i="64"/>
  <c r="M71" i="64"/>
  <c r="M78" i="64"/>
  <c r="M79" i="64"/>
  <c r="M80" i="64"/>
  <c r="M81" i="64"/>
  <c r="M82" i="64"/>
  <c r="M83" i="64"/>
  <c r="M84" i="64"/>
  <c r="M85" i="64"/>
  <c r="M86" i="64"/>
  <c r="M87" i="64"/>
  <c r="M88" i="64"/>
  <c r="M89" i="64"/>
  <c r="M90" i="64"/>
  <c r="M91" i="64"/>
  <c r="M92" i="64"/>
  <c r="M93" i="64"/>
  <c r="M94" i="64"/>
  <c r="M95" i="64"/>
  <c r="M96" i="64"/>
  <c r="M97" i="64"/>
  <c r="M98" i="64"/>
  <c r="M99" i="64"/>
  <c r="M100" i="64"/>
  <c r="M101" i="64"/>
  <c r="M102" i="64"/>
  <c r="M103" i="64"/>
  <c r="M104" i="64"/>
  <c r="M105" i="64"/>
  <c r="M106" i="64"/>
  <c r="M107" i="64"/>
  <c r="M108" i="64"/>
  <c r="M109" i="64"/>
  <c r="M111" i="64"/>
  <c r="M112" i="64"/>
  <c r="M7" i="64"/>
  <c r="S46" i="46"/>
  <c r="S45" i="46"/>
  <c r="S44" i="46"/>
  <c r="S43" i="46"/>
  <c r="S42" i="46"/>
  <c r="S41" i="46"/>
  <c r="S40" i="46"/>
  <c r="S39" i="46"/>
  <c r="S38" i="46"/>
  <c r="S37" i="46"/>
  <c r="S36" i="46"/>
  <c r="S35" i="46"/>
  <c r="S34" i="46"/>
  <c r="S33" i="46"/>
  <c r="S32" i="46"/>
  <c r="S31" i="46"/>
  <c r="S30" i="46"/>
  <c r="S29" i="46"/>
  <c r="S28" i="46"/>
  <c r="S27" i="46"/>
  <c r="S26" i="46"/>
  <c r="S25" i="46"/>
  <c r="S24" i="46"/>
  <c r="S23" i="46"/>
  <c r="S22" i="46"/>
  <c r="S21" i="46"/>
  <c r="S20" i="46"/>
  <c r="S19" i="46"/>
  <c r="S18" i="46"/>
  <c r="S17" i="46"/>
  <c r="S16" i="46"/>
  <c r="S15" i="46"/>
  <c r="S14" i="46"/>
  <c r="S13" i="46"/>
  <c r="S12" i="46"/>
  <c r="S11" i="46"/>
  <c r="S10" i="46"/>
  <c r="S9" i="46"/>
  <c r="S8" i="46"/>
  <c r="S49" i="44"/>
  <c r="S48" i="44"/>
  <c r="S47" i="44"/>
  <c r="S46" i="44"/>
  <c r="S45" i="44"/>
  <c r="Q45" i="44"/>
  <c r="S44" i="44"/>
  <c r="S43" i="44"/>
  <c r="Q43" i="44"/>
  <c r="S42" i="44"/>
  <c r="S41" i="44"/>
  <c r="Q41" i="44"/>
  <c r="S40" i="44"/>
  <c r="S39" i="44"/>
  <c r="Q39" i="44"/>
  <c r="S38" i="44"/>
  <c r="S37" i="44"/>
  <c r="S36" i="44"/>
  <c r="Q36" i="44"/>
  <c r="S35" i="44"/>
  <c r="S33" i="44"/>
  <c r="S21" i="44"/>
  <c r="Q21" i="44"/>
  <c r="S20" i="44"/>
  <c r="S19" i="44"/>
  <c r="Q19" i="44"/>
  <c r="S18" i="44"/>
  <c r="S17" i="44"/>
  <c r="Q17" i="44"/>
  <c r="S16" i="44"/>
  <c r="S15" i="44"/>
  <c r="Q15" i="44"/>
  <c r="S14" i="44"/>
  <c r="S13" i="44"/>
  <c r="Q13" i="44"/>
  <c r="S12" i="44"/>
  <c r="S11" i="44"/>
  <c r="Q11" i="44"/>
  <c r="S10" i="44"/>
  <c r="S9" i="44"/>
  <c r="Q9" i="44"/>
  <c r="S8" i="44"/>
  <c r="Q40" i="43"/>
  <c r="Q24" i="43"/>
  <c r="S8" i="43"/>
  <c r="S51" i="30"/>
  <c r="Q51" i="30"/>
  <c r="S48" i="30"/>
  <c r="Q48" i="30"/>
  <c r="S47" i="30"/>
  <c r="S46" i="30"/>
  <c r="Q46" i="30"/>
  <c r="S45" i="30"/>
  <c r="S44" i="30"/>
  <c r="Q44" i="30"/>
  <c r="S43" i="30"/>
  <c r="S42" i="30"/>
  <c r="Q42" i="30"/>
  <c r="S41" i="30"/>
  <c r="S40" i="30"/>
  <c r="Q40" i="30"/>
  <c r="S39" i="30"/>
  <c r="S38" i="30"/>
  <c r="Q38" i="30"/>
  <c r="S37" i="30"/>
  <c r="Q37" i="30"/>
  <c r="S36" i="30"/>
  <c r="S35" i="30"/>
  <c r="Q35" i="30"/>
  <c r="S34" i="30"/>
  <c r="S33" i="30"/>
  <c r="Q33" i="30"/>
  <c r="S32" i="30"/>
  <c r="Q32" i="30"/>
  <c r="S31" i="30"/>
  <c r="S30" i="30"/>
  <c r="Q30" i="30"/>
  <c r="S29" i="30"/>
  <c r="S28" i="30"/>
  <c r="Q28" i="30"/>
  <c r="S27" i="30"/>
  <c r="S26" i="30"/>
  <c r="Q26" i="30"/>
  <c r="S25" i="30"/>
  <c r="S23" i="30"/>
  <c r="S22" i="30"/>
  <c r="Q22" i="30"/>
  <c r="S21" i="30"/>
  <c r="Q21" i="30"/>
  <c r="S20" i="30"/>
  <c r="S19" i="30"/>
  <c r="Q19" i="30"/>
  <c r="S18" i="30"/>
  <c r="S17" i="30"/>
  <c r="Q17" i="30"/>
  <c r="S14" i="30"/>
  <c r="S13" i="30"/>
  <c r="Q13" i="30"/>
  <c r="S9" i="30"/>
  <c r="Q9" i="30"/>
  <c r="S8" i="30"/>
  <c r="Q8" i="30"/>
  <c r="Q8" i="46"/>
  <c r="Q9" i="46"/>
  <c r="Q10" i="46"/>
  <c r="Q11" i="46"/>
  <c r="Q12" i="46"/>
  <c r="Q13" i="46"/>
  <c r="Q14" i="46"/>
  <c r="Q15" i="46"/>
  <c r="Q16" i="46"/>
  <c r="Q17" i="46"/>
  <c r="Q18" i="46"/>
  <c r="Q19" i="46"/>
  <c r="Q20" i="46"/>
  <c r="Q21" i="46"/>
  <c r="Q22" i="46"/>
  <c r="Q23" i="46"/>
  <c r="Q24" i="46"/>
  <c r="Q25" i="46"/>
  <c r="Q26" i="46"/>
  <c r="Q27" i="46"/>
  <c r="Q28" i="46"/>
  <c r="Q29" i="46"/>
  <c r="Q30" i="46"/>
  <c r="Q31" i="46"/>
  <c r="Q32" i="46"/>
  <c r="Q33" i="46"/>
  <c r="Q34" i="46"/>
  <c r="Q35" i="46"/>
  <c r="Q36" i="46"/>
  <c r="Q37" i="46"/>
  <c r="Q38" i="46"/>
  <c r="Q39" i="46"/>
  <c r="Q40" i="46"/>
  <c r="Q41" i="46"/>
  <c r="Q42" i="46"/>
  <c r="Q43" i="46"/>
  <c r="Q44" i="46"/>
  <c r="Q45" i="46"/>
  <c r="Q46" i="46"/>
  <c r="Q8" i="44"/>
  <c r="Q10" i="44"/>
  <c r="Q12" i="44"/>
  <c r="Q14" i="44"/>
  <c r="Q16" i="44"/>
  <c r="Q18" i="44"/>
  <c r="Q20" i="44"/>
  <c r="Q33" i="44"/>
  <c r="Q35" i="44"/>
  <c r="Q37" i="44"/>
  <c r="Q47" i="44"/>
  <c r="Q49" i="44"/>
  <c r="Q38" i="44"/>
  <c r="Q40" i="44"/>
  <c r="Q42" i="44"/>
  <c r="Q44" i="44"/>
  <c r="Q46" i="44"/>
  <c r="Q8" i="43"/>
  <c r="Q56" i="43"/>
  <c r="Q14" i="30"/>
  <c r="Q18" i="30"/>
  <c r="Q20" i="30"/>
  <c r="Q23" i="30"/>
  <c r="Q25" i="30"/>
  <c r="Q27" i="30"/>
  <c r="Q29" i="30"/>
  <c r="Q31" i="30"/>
  <c r="Q34" i="30"/>
  <c r="Q36" i="30"/>
  <c r="Q39" i="30"/>
  <c r="Q41" i="30"/>
  <c r="Q43" i="30"/>
  <c r="Q45" i="30"/>
  <c r="Q47" i="30"/>
  <c r="S9" i="47"/>
  <c r="S19" i="47"/>
  <c r="S18" i="47"/>
  <c r="S16" i="47"/>
  <c r="S14" i="47"/>
  <c r="S11" i="47"/>
  <c r="S17" i="47"/>
  <c r="S15" i="47"/>
  <c r="S10" i="47"/>
  <c r="S12" i="47"/>
  <c r="S13" i="47"/>
  <c r="S8" i="47"/>
  <c r="I9" i="47"/>
  <c r="I10" i="47"/>
  <c r="I11" i="47"/>
  <c r="I12" i="47"/>
  <c r="I13" i="47"/>
  <c r="I8" i="47"/>
  <c r="I15" i="47"/>
  <c r="I16" i="47"/>
  <c r="I17" i="47"/>
  <c r="I18" i="47"/>
  <c r="I19" i="47"/>
  <c r="I14" i="47"/>
  <c r="G15" i="47"/>
  <c r="H15" i="47" s="1"/>
  <c r="G16" i="47"/>
  <c r="H16" i="47" s="1"/>
  <c r="G17" i="47"/>
  <c r="H17" i="47" s="1"/>
  <c r="G18" i="47"/>
  <c r="H18" i="47" s="1"/>
  <c r="G19" i="47"/>
  <c r="H19" i="47" s="1"/>
  <c r="G14" i="47"/>
  <c r="H14" i="47" s="1"/>
  <c r="Q26" i="43" l="1"/>
  <c r="Q57" i="43"/>
  <c r="O6" i="64"/>
  <c r="Q25" i="43"/>
  <c r="V32" i="44"/>
  <c r="S32" i="71" s="1"/>
  <c r="V28" i="44"/>
  <c r="S28" i="71" s="1"/>
  <c r="V24" i="44"/>
  <c r="S24" i="71" s="1"/>
  <c r="V31" i="44"/>
  <c r="S31" i="71" s="1"/>
  <c r="V27" i="44"/>
  <c r="S27" i="71" s="1"/>
  <c r="V23" i="44"/>
  <c r="S23" i="71" s="1"/>
  <c r="V30" i="44"/>
  <c r="S30" i="71" s="1"/>
  <c r="V26" i="44"/>
  <c r="S26" i="71" s="1"/>
  <c r="V22" i="44"/>
  <c r="S22" i="71" s="1"/>
  <c r="V29" i="44"/>
  <c r="S29" i="71" s="1"/>
  <c r="V25" i="44"/>
  <c r="S25" i="71" s="1"/>
  <c r="U115" i="64"/>
  <c r="U14" i="64"/>
  <c r="U22" i="64"/>
  <c r="U30" i="64"/>
  <c r="U38" i="64"/>
  <c r="U46" i="64"/>
  <c r="U54" i="64"/>
  <c r="U62" i="64"/>
  <c r="U70" i="64"/>
  <c r="U78" i="64"/>
  <c r="U86" i="64"/>
  <c r="U94" i="64"/>
  <c r="U102" i="64"/>
  <c r="U110" i="64"/>
  <c r="U9" i="64"/>
  <c r="U17" i="64"/>
  <c r="U25" i="64"/>
  <c r="U33" i="64"/>
  <c r="U41" i="64"/>
  <c r="U49" i="64"/>
  <c r="U57" i="64"/>
  <c r="U65" i="64"/>
  <c r="U73" i="64"/>
  <c r="U81" i="64"/>
  <c r="U89" i="64"/>
  <c r="U97" i="64"/>
  <c r="U105" i="64"/>
  <c r="U113" i="64"/>
  <c r="U55" i="64"/>
  <c r="U67" i="64"/>
  <c r="U79" i="64"/>
  <c r="U91" i="64"/>
  <c r="U103" i="64"/>
  <c r="U8" i="64"/>
  <c r="U16" i="64"/>
  <c r="U24" i="64"/>
  <c r="U32" i="64"/>
  <c r="U40" i="64"/>
  <c r="U48" i="64"/>
  <c r="U56" i="64"/>
  <c r="U64" i="64"/>
  <c r="U72" i="64"/>
  <c r="U80" i="64"/>
  <c r="U88" i="64"/>
  <c r="U96" i="64"/>
  <c r="U104" i="64"/>
  <c r="U112" i="64"/>
  <c r="U15" i="64"/>
  <c r="U23" i="64"/>
  <c r="U31" i="64"/>
  <c r="U39" i="64"/>
  <c r="U51" i="64"/>
  <c r="U71" i="64"/>
  <c r="U95" i="64"/>
  <c r="U35" i="64"/>
  <c r="U59" i="64"/>
  <c r="U107" i="64"/>
  <c r="U10" i="64"/>
  <c r="U18" i="64"/>
  <c r="U26" i="64"/>
  <c r="U34" i="64"/>
  <c r="U42" i="64"/>
  <c r="U50" i="64"/>
  <c r="U58" i="64"/>
  <c r="U66" i="64"/>
  <c r="U74" i="64"/>
  <c r="U82" i="64"/>
  <c r="U90" i="64"/>
  <c r="U98" i="64"/>
  <c r="U106" i="64"/>
  <c r="U114" i="64"/>
  <c r="U13" i="64"/>
  <c r="U21" i="64"/>
  <c r="U29" i="64"/>
  <c r="U37" i="64"/>
  <c r="U45" i="64"/>
  <c r="U53" i="64"/>
  <c r="U61" i="64"/>
  <c r="U69" i="64"/>
  <c r="U77" i="64"/>
  <c r="U85" i="64"/>
  <c r="U93" i="64"/>
  <c r="U101" i="64"/>
  <c r="U109" i="64"/>
  <c r="U47" i="64"/>
  <c r="U63" i="64"/>
  <c r="U75" i="64"/>
  <c r="U87" i="64"/>
  <c r="U99" i="64"/>
  <c r="U111" i="64"/>
  <c r="U12" i="64"/>
  <c r="U20" i="64"/>
  <c r="U28" i="64"/>
  <c r="U36" i="64"/>
  <c r="U44" i="64"/>
  <c r="U52" i="64"/>
  <c r="U60" i="64"/>
  <c r="U68" i="64"/>
  <c r="U76" i="64"/>
  <c r="U84" i="64"/>
  <c r="U92" i="64"/>
  <c r="U100" i="64"/>
  <c r="U108" i="64"/>
  <c r="U11" i="64"/>
  <c r="U19" i="64"/>
  <c r="U27" i="64"/>
  <c r="U43" i="64"/>
  <c r="U83" i="64"/>
  <c r="V9" i="44"/>
  <c r="S9" i="71" s="1"/>
  <c r="V17" i="44"/>
  <c r="S17" i="71" s="1"/>
  <c r="V34" i="44"/>
  <c r="S34" i="71" s="1"/>
  <c r="V42" i="44"/>
  <c r="S42" i="71" s="1"/>
  <c r="V8" i="44"/>
  <c r="S8" i="71" s="1"/>
  <c r="V16" i="44"/>
  <c r="S16" i="71" s="1"/>
  <c r="V33" i="44"/>
  <c r="S33" i="71" s="1"/>
  <c r="V41" i="44"/>
  <c r="S41" i="71" s="1"/>
  <c r="V35" i="44"/>
  <c r="S35" i="71" s="1"/>
  <c r="V11" i="44"/>
  <c r="S11" i="71" s="1"/>
  <c r="V19" i="44"/>
  <c r="S19" i="71" s="1"/>
  <c r="V36" i="44"/>
  <c r="S36" i="71" s="1"/>
  <c r="V44" i="44"/>
  <c r="S44" i="71" s="1"/>
  <c r="V10" i="44"/>
  <c r="S10" i="71" s="1"/>
  <c r="V18" i="44"/>
  <c r="S18" i="71" s="1"/>
  <c r="V39" i="44"/>
  <c r="S39" i="71" s="1"/>
  <c r="V49" i="44"/>
  <c r="S49" i="71" s="1"/>
  <c r="V13" i="44"/>
  <c r="S13" i="71" s="1"/>
  <c r="V21" i="44"/>
  <c r="S21" i="71" s="1"/>
  <c r="V38" i="44"/>
  <c r="S38" i="71" s="1"/>
  <c r="V46" i="44"/>
  <c r="S46" i="71" s="1"/>
  <c r="V12" i="44"/>
  <c r="S12" i="71" s="1"/>
  <c r="V20" i="44"/>
  <c r="S20" i="71" s="1"/>
  <c r="V37" i="44"/>
  <c r="S37" i="71" s="1"/>
  <c r="V45" i="44"/>
  <c r="S45" i="71" s="1"/>
  <c r="V43" i="44"/>
  <c r="S43" i="71" s="1"/>
  <c r="V15" i="44"/>
  <c r="S15" i="71" s="1"/>
  <c r="V40" i="44"/>
  <c r="S40" i="71" s="1"/>
  <c r="V48" i="44"/>
  <c r="S48" i="71" s="1"/>
  <c r="V14" i="44"/>
  <c r="S14" i="71" s="1"/>
  <c r="V47" i="44"/>
  <c r="S47" i="71" s="1"/>
  <c r="V10" i="43"/>
  <c r="S10" i="70" s="1"/>
  <c r="V18" i="43"/>
  <c r="S18" i="70" s="1"/>
  <c r="V26" i="43"/>
  <c r="S26" i="70" s="1"/>
  <c r="V34" i="43"/>
  <c r="S34" i="70" s="1"/>
  <c r="V42" i="43"/>
  <c r="S42" i="70" s="1"/>
  <c r="V50" i="43"/>
  <c r="S50" i="70" s="1"/>
  <c r="V58" i="43"/>
  <c r="S58" i="70" s="1"/>
  <c r="V66" i="43"/>
  <c r="S66" i="70" s="1"/>
  <c r="V74" i="43"/>
  <c r="S74" i="70" s="1"/>
  <c r="V82" i="43"/>
  <c r="S82" i="70" s="1"/>
  <c r="V90" i="43"/>
  <c r="S90" i="70" s="1"/>
  <c r="V15" i="43"/>
  <c r="S15" i="70" s="1"/>
  <c r="V23" i="43"/>
  <c r="S23" i="70" s="1"/>
  <c r="V31" i="43"/>
  <c r="S31" i="70" s="1"/>
  <c r="V39" i="43"/>
  <c r="S39" i="70" s="1"/>
  <c r="V47" i="43"/>
  <c r="S47" i="70" s="1"/>
  <c r="V55" i="43"/>
  <c r="S55" i="70" s="1"/>
  <c r="V63" i="43"/>
  <c r="S63" i="70" s="1"/>
  <c r="V71" i="43"/>
  <c r="S71" i="70" s="1"/>
  <c r="V79" i="43"/>
  <c r="S79" i="70" s="1"/>
  <c r="V87" i="43"/>
  <c r="S87" i="70" s="1"/>
  <c r="V89" i="43"/>
  <c r="S89" i="70" s="1"/>
  <c r="V12" i="43"/>
  <c r="S12" i="70" s="1"/>
  <c r="V20" i="43"/>
  <c r="S20" i="70" s="1"/>
  <c r="V28" i="43"/>
  <c r="S28" i="70" s="1"/>
  <c r="V36" i="43"/>
  <c r="S36" i="70" s="1"/>
  <c r="V44" i="43"/>
  <c r="S44" i="70" s="1"/>
  <c r="V52" i="43"/>
  <c r="S52" i="70" s="1"/>
  <c r="V60" i="43"/>
  <c r="S60" i="70" s="1"/>
  <c r="V68" i="43"/>
  <c r="S68" i="70" s="1"/>
  <c r="V76" i="43"/>
  <c r="S76" i="70" s="1"/>
  <c r="V84" i="43"/>
  <c r="S84" i="70" s="1"/>
  <c r="V92" i="43"/>
  <c r="S92" i="70" s="1"/>
  <c r="V13" i="43"/>
  <c r="S13" i="70" s="1"/>
  <c r="V21" i="43"/>
  <c r="S21" i="70" s="1"/>
  <c r="V29" i="43"/>
  <c r="S29" i="70" s="1"/>
  <c r="V37" i="43"/>
  <c r="S37" i="70" s="1"/>
  <c r="V45" i="43"/>
  <c r="S45" i="70" s="1"/>
  <c r="V53" i="43"/>
  <c r="S53" i="70" s="1"/>
  <c r="V61" i="43"/>
  <c r="S61" i="70" s="1"/>
  <c r="V69" i="43"/>
  <c r="S69" i="70" s="1"/>
  <c r="V77" i="43"/>
  <c r="S77" i="70" s="1"/>
  <c r="V85" i="43"/>
  <c r="S85" i="70" s="1"/>
  <c r="V49" i="43"/>
  <c r="S49" i="70" s="1"/>
  <c r="V65" i="43"/>
  <c r="S65" i="70" s="1"/>
  <c r="V81" i="43"/>
  <c r="S81" i="70" s="1"/>
  <c r="V93" i="43"/>
  <c r="S93" i="70" s="1"/>
  <c r="V14" i="43"/>
  <c r="S14" i="70" s="1"/>
  <c r="V22" i="43"/>
  <c r="S22" i="70" s="1"/>
  <c r="V30" i="43"/>
  <c r="S30" i="70" s="1"/>
  <c r="V38" i="43"/>
  <c r="S38" i="70" s="1"/>
  <c r="V46" i="43"/>
  <c r="S46" i="70" s="1"/>
  <c r="V54" i="43"/>
  <c r="S54" i="70" s="1"/>
  <c r="V62" i="43"/>
  <c r="S62" i="70" s="1"/>
  <c r="V70" i="43"/>
  <c r="S70" i="70" s="1"/>
  <c r="V78" i="43"/>
  <c r="S78" i="70" s="1"/>
  <c r="V86" i="43"/>
  <c r="S86" i="70" s="1"/>
  <c r="V11" i="43"/>
  <c r="S11" i="70" s="1"/>
  <c r="V19" i="43"/>
  <c r="S19" i="70" s="1"/>
  <c r="V27" i="43"/>
  <c r="S27" i="70" s="1"/>
  <c r="V35" i="43"/>
  <c r="S35" i="70" s="1"/>
  <c r="V43" i="43"/>
  <c r="S43" i="70" s="1"/>
  <c r="V51" i="43"/>
  <c r="S51" i="70" s="1"/>
  <c r="V59" i="43"/>
  <c r="S59" i="70" s="1"/>
  <c r="V67" i="43"/>
  <c r="S67" i="70" s="1"/>
  <c r="V75" i="43"/>
  <c r="S75" i="70" s="1"/>
  <c r="V83" i="43"/>
  <c r="S83" i="70" s="1"/>
  <c r="V91" i="43"/>
  <c r="S91" i="70" s="1"/>
  <c r="V8" i="43"/>
  <c r="S8" i="70" s="1"/>
  <c r="V16" i="43"/>
  <c r="S16" i="70" s="1"/>
  <c r="V24" i="43"/>
  <c r="S24" i="70" s="1"/>
  <c r="V32" i="43"/>
  <c r="S32" i="70" s="1"/>
  <c r="V40" i="43"/>
  <c r="S40" i="70" s="1"/>
  <c r="V48" i="43"/>
  <c r="S48" i="70" s="1"/>
  <c r="V56" i="43"/>
  <c r="S56" i="70" s="1"/>
  <c r="V64" i="43"/>
  <c r="S64" i="70" s="1"/>
  <c r="V72" i="43"/>
  <c r="S72" i="70" s="1"/>
  <c r="V80" i="43"/>
  <c r="S80" i="70" s="1"/>
  <c r="V88" i="43"/>
  <c r="S88" i="70" s="1"/>
  <c r="V9" i="43"/>
  <c r="S9" i="70" s="1"/>
  <c r="V17" i="43"/>
  <c r="S17" i="70" s="1"/>
  <c r="V25" i="43"/>
  <c r="S25" i="70" s="1"/>
  <c r="V33" i="43"/>
  <c r="S33" i="70" s="1"/>
  <c r="V41" i="43"/>
  <c r="S41" i="70" s="1"/>
  <c r="V57" i="43"/>
  <c r="S57" i="70" s="1"/>
  <c r="V73" i="43"/>
  <c r="S73" i="70" s="1"/>
  <c r="B3" i="69"/>
  <c r="N49" i="64"/>
  <c r="O48" i="64"/>
  <c r="M48" i="64"/>
  <c r="S9" i="43"/>
  <c r="Q41" i="43"/>
  <c r="M6" i="64"/>
  <c r="K219" i="76"/>
  <c r="K221" i="76"/>
  <c r="N32" i="64"/>
  <c r="O31" i="64"/>
  <c r="M31" i="64"/>
  <c r="Q50" i="30"/>
  <c r="Q52" i="30"/>
  <c r="B3" i="71"/>
  <c r="B3" i="70"/>
  <c r="V18" i="74"/>
  <c r="N18" i="74" s="1"/>
  <c r="S61" i="81"/>
  <c r="Q61" i="81"/>
  <c r="R63" i="81"/>
  <c r="R64" i="81"/>
  <c r="S62" i="81"/>
  <c r="Q62" i="81"/>
  <c r="Q85" i="43"/>
  <c r="Q69" i="43"/>
  <c r="V17" i="74"/>
  <c r="N17" i="74" s="1"/>
  <c r="V14" i="74"/>
  <c r="N14" i="74" s="1"/>
  <c r="V15" i="74"/>
  <c r="N15" i="74" s="1"/>
  <c r="V19" i="74"/>
  <c r="N19" i="74" s="1"/>
  <c r="V16" i="74"/>
  <c r="N16" i="74" s="1"/>
  <c r="V20" i="74"/>
  <c r="N20" i="74" s="1"/>
  <c r="V12" i="74"/>
  <c r="N12" i="74" s="1"/>
  <c r="T11" i="80"/>
  <c r="R11" i="80"/>
  <c r="V13" i="74"/>
  <c r="N13" i="74" s="1"/>
  <c r="S55" i="30"/>
  <c r="S53" i="30"/>
  <c r="Q53" i="30"/>
  <c r="W42" i="72"/>
  <c r="S42" i="72" s="1"/>
  <c r="W46" i="72"/>
  <c r="S46" i="72" s="1"/>
  <c r="W12" i="72"/>
  <c r="S12" i="72" s="1"/>
  <c r="W16" i="72"/>
  <c r="S16" i="72" s="1"/>
  <c r="W20" i="72"/>
  <c r="S20" i="72" s="1"/>
  <c r="W24" i="72"/>
  <c r="S24" i="72" s="1"/>
  <c r="W28" i="72"/>
  <c r="S28" i="72" s="1"/>
  <c r="W32" i="72"/>
  <c r="S32" i="72" s="1"/>
  <c r="W36" i="72"/>
  <c r="S36" i="72" s="1"/>
  <c r="W39" i="72"/>
  <c r="S39" i="72" s="1"/>
  <c r="W43" i="72"/>
  <c r="S43" i="72" s="1"/>
  <c r="W9" i="72"/>
  <c r="S9" i="72" s="1"/>
  <c r="W13" i="72"/>
  <c r="S13" i="72" s="1"/>
  <c r="W17" i="72"/>
  <c r="S17" i="72" s="1"/>
  <c r="W21" i="72"/>
  <c r="S21" i="72" s="1"/>
  <c r="W25" i="72"/>
  <c r="S25" i="72" s="1"/>
  <c r="W29" i="72"/>
  <c r="S29" i="72" s="1"/>
  <c r="W33" i="72"/>
  <c r="S33" i="72" s="1"/>
  <c r="W37" i="72"/>
  <c r="S37" i="72" s="1"/>
  <c r="W40" i="72"/>
  <c r="S40" i="72" s="1"/>
  <c r="W44" i="72"/>
  <c r="S44" i="72" s="1"/>
  <c r="W10" i="72"/>
  <c r="S10" i="72" s="1"/>
  <c r="W14" i="72"/>
  <c r="S14" i="72" s="1"/>
  <c r="W18" i="72"/>
  <c r="S18" i="72" s="1"/>
  <c r="W22" i="72"/>
  <c r="S22" i="72" s="1"/>
  <c r="W26" i="72"/>
  <c r="S26" i="72" s="1"/>
  <c r="W30" i="72"/>
  <c r="S30" i="72" s="1"/>
  <c r="W34" i="72"/>
  <c r="S34" i="72" s="1"/>
  <c r="W38" i="72"/>
  <c r="S38" i="72" s="1"/>
  <c r="W41" i="72"/>
  <c r="S41" i="72" s="1"/>
  <c r="W45" i="72"/>
  <c r="S45" i="72" s="1"/>
  <c r="W11" i="72"/>
  <c r="S11" i="72" s="1"/>
  <c r="W15" i="72"/>
  <c r="S15" i="72" s="1"/>
  <c r="W19" i="72"/>
  <c r="S19" i="72" s="1"/>
  <c r="W23" i="72"/>
  <c r="S23" i="72" s="1"/>
  <c r="W27" i="72"/>
  <c r="S27" i="72" s="1"/>
  <c r="W31" i="72"/>
  <c r="S31" i="72" s="1"/>
  <c r="W35" i="72"/>
  <c r="S35" i="72" s="1"/>
  <c r="W8" i="72"/>
  <c r="S8" i="72" s="1"/>
  <c r="N72" i="64"/>
  <c r="Q58" i="43" l="1"/>
  <c r="Q42" i="43"/>
  <c r="Q10" i="43"/>
  <c r="S10" i="43"/>
  <c r="T29" i="79"/>
  <c r="R10" i="79"/>
  <c r="T32" i="79"/>
  <c r="R36" i="79"/>
  <c r="R25" i="79"/>
  <c r="T43" i="79"/>
  <c r="R31" i="79"/>
  <c r="R39" i="79"/>
  <c r="T38" i="79"/>
  <c r="R34" i="79"/>
  <c r="T11" i="79"/>
  <c r="R37" i="79"/>
  <c r="T33" i="79"/>
  <c r="R40" i="79"/>
  <c r="T41" i="79"/>
  <c r="T35" i="79"/>
  <c r="T28" i="79"/>
  <c r="R24" i="79"/>
  <c r="R30" i="79"/>
  <c r="R42" i="79"/>
  <c r="K222" i="76"/>
  <c r="K223" i="76" s="1"/>
  <c r="K250" i="76" s="1"/>
  <c r="K220" i="76"/>
  <c r="R34" i="71"/>
  <c r="V16" i="30"/>
  <c r="S16" i="69" s="1"/>
  <c r="R38" i="79"/>
  <c r="R28" i="79"/>
  <c r="T30" i="79"/>
  <c r="R12" i="79"/>
  <c r="T24" i="79"/>
  <c r="R43" i="79"/>
  <c r="T34" i="79"/>
  <c r="T42" i="79"/>
  <c r="T40" i="79"/>
  <c r="R41" i="79"/>
  <c r="T25" i="79"/>
  <c r="T31" i="79"/>
  <c r="T36" i="79"/>
  <c r="V70" i="30"/>
  <c r="S70" i="69" s="1"/>
  <c r="V68" i="30"/>
  <c r="S68" i="69" s="1"/>
  <c r="V66" i="30"/>
  <c r="S66" i="69" s="1"/>
  <c r="V64" i="30"/>
  <c r="S64" i="69" s="1"/>
  <c r="V62" i="30"/>
  <c r="S62" i="69" s="1"/>
  <c r="V60" i="30"/>
  <c r="S60" i="69" s="1"/>
  <c r="V58" i="30"/>
  <c r="S58" i="69" s="1"/>
  <c r="V56" i="30"/>
  <c r="S56" i="69" s="1"/>
  <c r="V54" i="30"/>
  <c r="S54" i="69" s="1"/>
  <c r="V52" i="30"/>
  <c r="S52" i="69" s="1"/>
  <c r="V50" i="30"/>
  <c r="S50" i="69" s="1"/>
  <c r="V48" i="30"/>
  <c r="S48" i="69" s="1"/>
  <c r="V46" i="30"/>
  <c r="S46" i="69" s="1"/>
  <c r="V44" i="30"/>
  <c r="S44" i="69" s="1"/>
  <c r="V42" i="30"/>
  <c r="S42" i="69" s="1"/>
  <c r="V40" i="30"/>
  <c r="S40" i="69" s="1"/>
  <c r="V38" i="30"/>
  <c r="S38" i="69" s="1"/>
  <c r="V37" i="30"/>
  <c r="S37" i="69" s="1"/>
  <c r="V35" i="30"/>
  <c r="S35" i="69" s="1"/>
  <c r="V33" i="30"/>
  <c r="S33" i="69" s="1"/>
  <c r="V32" i="30"/>
  <c r="S32" i="69" s="1"/>
  <c r="V30" i="30"/>
  <c r="S30" i="69" s="1"/>
  <c r="V28" i="30"/>
  <c r="S28" i="69" s="1"/>
  <c r="V26" i="30"/>
  <c r="S26" i="69" s="1"/>
  <c r="V24" i="30"/>
  <c r="S24" i="69" s="1"/>
  <c r="V22" i="30"/>
  <c r="S22" i="69" s="1"/>
  <c r="V21" i="30"/>
  <c r="S21" i="69" s="1"/>
  <c r="V19" i="30"/>
  <c r="S19" i="69" s="1"/>
  <c r="V17" i="30"/>
  <c r="S17" i="69" s="1"/>
  <c r="V14" i="30"/>
  <c r="V12" i="30"/>
  <c r="V10" i="30"/>
  <c r="V8" i="30"/>
  <c r="V69" i="30"/>
  <c r="S69" i="69" s="1"/>
  <c r="V67" i="30"/>
  <c r="S67" i="69" s="1"/>
  <c r="V65" i="30"/>
  <c r="S65" i="69" s="1"/>
  <c r="V63" i="30"/>
  <c r="S63" i="69" s="1"/>
  <c r="V61" i="30"/>
  <c r="S61" i="69" s="1"/>
  <c r="V59" i="30"/>
  <c r="S59" i="69" s="1"/>
  <c r="V57" i="30"/>
  <c r="S57" i="69" s="1"/>
  <c r="V55" i="30"/>
  <c r="S55" i="69" s="1"/>
  <c r="V53" i="30"/>
  <c r="S53" i="69" s="1"/>
  <c r="V51" i="30"/>
  <c r="S51" i="69" s="1"/>
  <c r="V49" i="30"/>
  <c r="S49" i="69" s="1"/>
  <c r="V47" i="30"/>
  <c r="S47" i="69" s="1"/>
  <c r="V45" i="30"/>
  <c r="S45" i="69" s="1"/>
  <c r="V43" i="30"/>
  <c r="S43" i="69" s="1"/>
  <c r="V41" i="30"/>
  <c r="S41" i="69" s="1"/>
  <c r="V39" i="30"/>
  <c r="S39" i="69" s="1"/>
  <c r="V36" i="30"/>
  <c r="S36" i="69" s="1"/>
  <c r="V34" i="30"/>
  <c r="S34" i="69" s="1"/>
  <c r="V31" i="30"/>
  <c r="S31" i="69" s="1"/>
  <c r="V29" i="30"/>
  <c r="S29" i="69" s="1"/>
  <c r="V27" i="30"/>
  <c r="S27" i="69" s="1"/>
  <c r="V25" i="30"/>
  <c r="S25" i="69" s="1"/>
  <c r="V23" i="30"/>
  <c r="S23" i="69" s="1"/>
  <c r="V20" i="30"/>
  <c r="S20" i="69" s="1"/>
  <c r="V18" i="30"/>
  <c r="S18" i="69" s="1"/>
  <c r="V15" i="30"/>
  <c r="V13" i="30"/>
  <c r="V11" i="30"/>
  <c r="V9" i="30"/>
  <c r="R32" i="79"/>
  <c r="R35" i="79"/>
  <c r="T39" i="79"/>
  <c r="K255" i="76"/>
  <c r="K256" i="76" s="1"/>
  <c r="K257" i="76" s="1"/>
  <c r="K265" i="76"/>
  <c r="N50" i="64"/>
  <c r="M49" i="64"/>
  <c r="O49" i="64"/>
  <c r="R33" i="79"/>
  <c r="T10" i="79"/>
  <c r="T34" i="71"/>
  <c r="T37" i="79"/>
  <c r="R29" i="79"/>
  <c r="R11" i="79"/>
  <c r="T38" i="71"/>
  <c r="R38" i="71"/>
  <c r="T13" i="71"/>
  <c r="R13" i="71"/>
  <c r="T8" i="71"/>
  <c r="T42" i="71"/>
  <c r="R42" i="71"/>
  <c r="T17" i="71"/>
  <c r="R17" i="71"/>
  <c r="R43" i="71"/>
  <c r="T43" i="71"/>
  <c r="R35" i="71"/>
  <c r="R10" i="71"/>
  <c r="T10" i="71"/>
  <c r="T36" i="71"/>
  <c r="R36" i="71"/>
  <c r="T11" i="71"/>
  <c r="R11" i="71"/>
  <c r="R45" i="71"/>
  <c r="R37" i="71"/>
  <c r="T37" i="71"/>
  <c r="R12" i="71"/>
  <c r="T12" i="71"/>
  <c r="R47" i="71"/>
  <c r="R39" i="71"/>
  <c r="T39" i="71"/>
  <c r="T40" i="71"/>
  <c r="R40" i="71"/>
  <c r="R49" i="71"/>
  <c r="T49" i="71"/>
  <c r="R41" i="71"/>
  <c r="T41" i="71"/>
  <c r="R33" i="71"/>
  <c r="T33" i="71"/>
  <c r="R16" i="71"/>
  <c r="T16" i="71"/>
  <c r="T85" i="70"/>
  <c r="R85" i="70"/>
  <c r="R84" i="70"/>
  <c r="T84" i="70"/>
  <c r="R68" i="70"/>
  <c r="T68" i="70"/>
  <c r="R41" i="70"/>
  <c r="T41" i="70"/>
  <c r="T67" i="70"/>
  <c r="R67" i="70"/>
  <c r="T40" i="70"/>
  <c r="R40" i="70"/>
  <c r="T24" i="70"/>
  <c r="R83" i="70"/>
  <c r="T69" i="70"/>
  <c r="R69" i="70"/>
  <c r="T58" i="70"/>
  <c r="T42" i="70"/>
  <c r="R42" i="70"/>
  <c r="T26" i="70"/>
  <c r="R10" i="70"/>
  <c r="S52" i="30"/>
  <c r="N33" i="64"/>
  <c r="M32" i="64"/>
  <c r="O32" i="64"/>
  <c r="S57" i="30"/>
  <c r="Q55" i="30"/>
  <c r="O35" i="64"/>
  <c r="M35" i="64"/>
  <c r="S63" i="81"/>
  <c r="Q63" i="81"/>
  <c r="R65" i="81"/>
  <c r="R66" i="81"/>
  <c r="S64" i="81"/>
  <c r="Q64" i="81"/>
  <c r="Q86" i="43"/>
  <c r="Q70" i="43"/>
  <c r="T12" i="80"/>
  <c r="R12" i="80"/>
  <c r="S54" i="30"/>
  <c r="Q54" i="30"/>
  <c r="R30" i="72"/>
  <c r="T30" i="72"/>
  <c r="T22" i="72"/>
  <c r="R22" i="72"/>
  <c r="R14" i="72"/>
  <c r="T14" i="72"/>
  <c r="N73" i="64"/>
  <c r="O72" i="64"/>
  <c r="M72" i="64"/>
  <c r="R8" i="72"/>
  <c r="T8" i="72"/>
  <c r="T31" i="72"/>
  <c r="R31" i="72"/>
  <c r="T23" i="72"/>
  <c r="R23" i="72"/>
  <c r="R15" i="72"/>
  <c r="T15" i="72"/>
  <c r="R45" i="72"/>
  <c r="T45" i="72"/>
  <c r="R38" i="72"/>
  <c r="T38" i="72"/>
  <c r="R44" i="72"/>
  <c r="T44" i="72"/>
  <c r="T37" i="72"/>
  <c r="R37" i="72"/>
  <c r="T29" i="72"/>
  <c r="R29" i="72"/>
  <c r="R21" i="72"/>
  <c r="T21" i="72"/>
  <c r="R13" i="72"/>
  <c r="T13" i="72"/>
  <c r="T43" i="72"/>
  <c r="R43" i="72"/>
  <c r="T36" i="72"/>
  <c r="R36" i="72"/>
  <c r="T28" i="72"/>
  <c r="R28" i="72"/>
  <c r="R20" i="72"/>
  <c r="T20" i="72"/>
  <c r="R12" i="72"/>
  <c r="T12" i="72"/>
  <c r="T42" i="72"/>
  <c r="R42" i="72"/>
  <c r="R26" i="72"/>
  <c r="T26" i="72"/>
  <c r="T18" i="72"/>
  <c r="R18" i="72"/>
  <c r="T10" i="72"/>
  <c r="R10" i="72"/>
  <c r="R35" i="72"/>
  <c r="T35" i="72"/>
  <c r="R27" i="72"/>
  <c r="T27" i="72"/>
  <c r="T19" i="72"/>
  <c r="R19" i="72"/>
  <c r="R11" i="72"/>
  <c r="T11" i="72"/>
  <c r="R41" i="72"/>
  <c r="T41" i="72"/>
  <c r="T34" i="72"/>
  <c r="R34" i="72"/>
  <c r="R40" i="72"/>
  <c r="T40" i="72"/>
  <c r="R33" i="72"/>
  <c r="T33" i="72"/>
  <c r="T25" i="72"/>
  <c r="R25" i="72"/>
  <c r="R17" i="72"/>
  <c r="T17" i="72"/>
  <c r="T9" i="72"/>
  <c r="R9" i="72"/>
  <c r="T39" i="72"/>
  <c r="R39" i="72"/>
  <c r="R32" i="72"/>
  <c r="T32" i="72"/>
  <c r="T24" i="72"/>
  <c r="R24" i="72"/>
  <c r="R16" i="72"/>
  <c r="T16" i="72"/>
  <c r="T46" i="72"/>
  <c r="R46" i="72"/>
  <c r="S11" i="69" l="1"/>
  <c r="S15" i="69"/>
  <c r="S8" i="69"/>
  <c r="S12" i="69"/>
  <c r="S9" i="69"/>
  <c r="S13" i="69"/>
  <c r="S10" i="69"/>
  <c r="S14" i="69"/>
  <c r="T12" i="79"/>
  <c r="T9" i="79"/>
  <c r="R46" i="71"/>
  <c r="R44" i="71"/>
  <c r="T35" i="71"/>
  <c r="R15" i="71"/>
  <c r="T9" i="71"/>
  <c r="R9" i="71"/>
  <c r="R8" i="71"/>
  <c r="T10" i="70"/>
  <c r="T87" i="70"/>
  <c r="Q59" i="43"/>
  <c r="Q43" i="43"/>
  <c r="Q27" i="43"/>
  <c r="S11" i="43"/>
  <c r="Q11" i="43"/>
  <c r="R69" i="69"/>
  <c r="T40" i="69"/>
  <c r="T13" i="79"/>
  <c r="R19" i="71"/>
  <c r="T18" i="71"/>
  <c r="T20" i="71"/>
  <c r="T15" i="71"/>
  <c r="T8" i="79"/>
  <c r="T48" i="71"/>
  <c r="R14" i="71"/>
  <c r="R9" i="79"/>
  <c r="R8" i="79"/>
  <c r="T31" i="71"/>
  <c r="T26" i="71"/>
  <c r="T14" i="71"/>
  <c r="T24" i="71"/>
  <c r="T30" i="71"/>
  <c r="T25" i="71"/>
  <c r="T44" i="71"/>
  <c r="T46" i="71"/>
  <c r="T45" i="71"/>
  <c r="T47" i="71"/>
  <c r="R48" i="71"/>
  <c r="T21" i="71"/>
  <c r="T28" i="71"/>
  <c r="T23" i="71"/>
  <c r="T29" i="71"/>
  <c r="T32" i="71"/>
  <c r="T27" i="71"/>
  <c r="T22" i="71"/>
  <c r="T19" i="71"/>
  <c r="R18" i="71"/>
  <c r="R20" i="71"/>
  <c r="T83" i="70"/>
  <c r="R24" i="70"/>
  <c r="R56" i="70"/>
  <c r="R57" i="70"/>
  <c r="R59" i="70"/>
  <c r="T25" i="70"/>
  <c r="R26" i="70"/>
  <c r="R58" i="70"/>
  <c r="R8" i="70"/>
  <c r="R9" i="70"/>
  <c r="T59" i="70"/>
  <c r="R21" i="71"/>
  <c r="T56" i="70"/>
  <c r="R25" i="70"/>
  <c r="T9" i="70"/>
  <c r="T8" i="70"/>
  <c r="R29" i="71"/>
  <c r="R28" i="71"/>
  <c r="T27" i="79"/>
  <c r="R27" i="79"/>
  <c r="R26" i="79"/>
  <c r="T26" i="79"/>
  <c r="R22" i="71"/>
  <c r="R30" i="71"/>
  <c r="R26" i="71"/>
  <c r="R23" i="71"/>
  <c r="R24" i="71"/>
  <c r="R31" i="71"/>
  <c r="R25" i="71"/>
  <c r="R27" i="71"/>
  <c r="R32" i="71"/>
  <c r="T56" i="69"/>
  <c r="T55" i="69"/>
  <c r="R86" i="70"/>
  <c r="T57" i="70"/>
  <c r="R55" i="69"/>
  <c r="T86" i="70"/>
  <c r="R56" i="69"/>
  <c r="K260" i="76"/>
  <c r="K258" i="76"/>
  <c r="N51" i="64"/>
  <c r="O50" i="64"/>
  <c r="M50" i="64"/>
  <c r="T69" i="69"/>
  <c r="Q57" i="30"/>
  <c r="R70" i="70"/>
  <c r="T70" i="70"/>
  <c r="O33" i="64"/>
  <c r="N34" i="64"/>
  <c r="M33" i="64"/>
  <c r="S65" i="81"/>
  <c r="Q65" i="81"/>
  <c r="S66" i="81"/>
  <c r="Q66" i="81"/>
  <c r="Q87" i="43"/>
  <c r="Q71" i="43"/>
  <c r="T13" i="80"/>
  <c r="R13" i="80"/>
  <c r="Q56" i="30"/>
  <c r="S56" i="30"/>
  <c r="N74" i="64"/>
  <c r="O73" i="64"/>
  <c r="M73" i="64"/>
  <c r="R13" i="79" l="1"/>
  <c r="R40" i="69"/>
  <c r="R27" i="70"/>
  <c r="R87" i="70"/>
  <c r="T27" i="70"/>
  <c r="Q60" i="43"/>
  <c r="R43" i="70"/>
  <c r="T43" i="70"/>
  <c r="Q44" i="43"/>
  <c r="Q28" i="43"/>
  <c r="T11" i="70"/>
  <c r="R11" i="70"/>
  <c r="S12" i="43"/>
  <c r="Q12" i="43"/>
  <c r="T27" i="69"/>
  <c r="T53" i="69"/>
  <c r="R59" i="69"/>
  <c r="R36" i="69"/>
  <c r="R28" i="69"/>
  <c r="R47" i="69"/>
  <c r="R39" i="69"/>
  <c r="R29" i="69"/>
  <c r="T20" i="69"/>
  <c r="T9" i="69"/>
  <c r="T52" i="69"/>
  <c r="T49" i="69"/>
  <c r="T41" i="69"/>
  <c r="T31" i="69"/>
  <c r="T23" i="69"/>
  <c r="T13" i="69"/>
  <c r="R46" i="69"/>
  <c r="R8" i="69"/>
  <c r="R51" i="69"/>
  <c r="R43" i="69"/>
  <c r="T34" i="69"/>
  <c r="R25" i="69"/>
  <c r="R15" i="69"/>
  <c r="Q59" i="30"/>
  <c r="S59" i="30"/>
  <c r="R54" i="69"/>
  <c r="R24" i="69"/>
  <c r="T44" i="69"/>
  <c r="R44" i="69"/>
  <c r="T33" i="69"/>
  <c r="T26" i="69"/>
  <c r="R26" i="69"/>
  <c r="T19" i="69"/>
  <c r="R19" i="69"/>
  <c r="R10" i="69"/>
  <c r="T10" i="69"/>
  <c r="R45" i="69"/>
  <c r="T36" i="69"/>
  <c r="R27" i="69"/>
  <c r="T18" i="69"/>
  <c r="T50" i="69"/>
  <c r="R42" i="69"/>
  <c r="T42" i="69"/>
  <c r="T32" i="69"/>
  <c r="R32" i="69"/>
  <c r="R50" i="69"/>
  <c r="T24" i="69"/>
  <c r="T68" i="69"/>
  <c r="T54" i="69"/>
  <c r="R52" i="69"/>
  <c r="R18" i="69"/>
  <c r="R11" i="69"/>
  <c r="R33" i="69"/>
  <c r="T45" i="69"/>
  <c r="R57" i="69"/>
  <c r="T59" i="69"/>
  <c r="R16" i="69"/>
  <c r="T16" i="69"/>
  <c r="T48" i="69"/>
  <c r="R48" i="69"/>
  <c r="T37" i="69"/>
  <c r="R37" i="69"/>
  <c r="T30" i="69"/>
  <c r="R30" i="69"/>
  <c r="T22" i="69"/>
  <c r="R22" i="69"/>
  <c r="T14" i="69"/>
  <c r="R14" i="69"/>
  <c r="R53" i="69"/>
  <c r="R49" i="69"/>
  <c r="R41" i="69"/>
  <c r="R31" i="69"/>
  <c r="R23" i="69"/>
  <c r="R13" i="69"/>
  <c r="R70" i="69"/>
  <c r="T70" i="69"/>
  <c r="T46" i="69"/>
  <c r="R38" i="69"/>
  <c r="T38" i="69"/>
  <c r="R35" i="69"/>
  <c r="T35" i="69"/>
  <c r="T28" i="69"/>
  <c r="R21" i="69"/>
  <c r="T21" i="69"/>
  <c r="T17" i="69"/>
  <c r="R17" i="69"/>
  <c r="T12" i="69"/>
  <c r="R12" i="69"/>
  <c r="T8" i="69"/>
  <c r="R67" i="69"/>
  <c r="T67" i="69"/>
  <c r="T51" i="69"/>
  <c r="T47" i="69"/>
  <c r="T43" i="69"/>
  <c r="T39" i="69"/>
  <c r="R34" i="69"/>
  <c r="T29" i="69"/>
  <c r="T25" i="69"/>
  <c r="R20" i="69"/>
  <c r="T15" i="69"/>
  <c r="R9" i="69"/>
  <c r="T57" i="69"/>
  <c r="T11" i="69"/>
  <c r="T61" i="69"/>
  <c r="R61" i="69"/>
  <c r="T58" i="69"/>
  <c r="R58" i="69"/>
  <c r="T88" i="70"/>
  <c r="K261" i="76"/>
  <c r="K262" i="76" s="1"/>
  <c r="K267" i="76" s="1"/>
  <c r="K259" i="76"/>
  <c r="N52" i="64"/>
  <c r="O51" i="64"/>
  <c r="M51" i="64"/>
  <c r="R68" i="69"/>
  <c r="T71" i="70"/>
  <c r="R71" i="70"/>
  <c r="R72" i="70"/>
  <c r="N36" i="64"/>
  <c r="M34" i="64"/>
  <c r="O34" i="64"/>
  <c r="Q88" i="43"/>
  <c r="Q72" i="43"/>
  <c r="T14" i="80"/>
  <c r="R14" i="80"/>
  <c r="S61" i="30"/>
  <c r="Q61" i="30"/>
  <c r="S58" i="30"/>
  <c r="Q58" i="30"/>
  <c r="N75" i="64"/>
  <c r="O74" i="64"/>
  <c r="M74" i="64"/>
  <c r="R14" i="79" l="1"/>
  <c r="T14" i="79"/>
  <c r="R88" i="70"/>
  <c r="T72" i="70"/>
  <c r="Q73" i="43"/>
  <c r="Q61" i="43"/>
  <c r="R60" i="70"/>
  <c r="T60" i="70"/>
  <c r="T44" i="70"/>
  <c r="R44" i="70"/>
  <c r="Q45" i="43"/>
  <c r="R28" i="70"/>
  <c r="T28" i="70"/>
  <c r="Q29" i="43"/>
  <c r="S13" i="43"/>
  <c r="Q13" i="43"/>
  <c r="T12" i="70"/>
  <c r="R12" i="70"/>
  <c r="T60" i="69"/>
  <c r="R60" i="69"/>
  <c r="T63" i="69"/>
  <c r="R63" i="69"/>
  <c r="N53" i="64"/>
  <c r="O52" i="64"/>
  <c r="M52" i="64"/>
  <c r="O36" i="64"/>
  <c r="N37" i="64"/>
  <c r="M36" i="64"/>
  <c r="Q89" i="43"/>
  <c r="T15" i="80"/>
  <c r="R15" i="80"/>
  <c r="S63" i="30"/>
  <c r="Q63" i="30"/>
  <c r="Q60" i="30"/>
  <c r="S60" i="30"/>
  <c r="N76" i="64"/>
  <c r="O75" i="64"/>
  <c r="M75" i="64"/>
  <c r="R15" i="79" l="1"/>
  <c r="T15" i="79"/>
  <c r="T89" i="70"/>
  <c r="R89" i="70"/>
  <c r="Q74" i="43"/>
  <c r="R73" i="70"/>
  <c r="T73" i="70"/>
  <c r="R61" i="70"/>
  <c r="T61" i="70"/>
  <c r="Q62" i="43"/>
  <c r="T45" i="70"/>
  <c r="R45" i="70"/>
  <c r="Q46" i="43"/>
  <c r="R29" i="70"/>
  <c r="T29" i="70"/>
  <c r="Q30" i="43"/>
  <c r="R13" i="70"/>
  <c r="T13" i="70"/>
  <c r="Q14" i="43"/>
  <c r="S14" i="43"/>
  <c r="T62" i="69"/>
  <c r="R62" i="69"/>
  <c r="R65" i="69"/>
  <c r="T65" i="69"/>
  <c r="T90" i="70"/>
  <c r="R90" i="70"/>
  <c r="N54" i="64"/>
  <c r="M53" i="64"/>
  <c r="O53" i="64"/>
  <c r="N38" i="64"/>
  <c r="M37" i="64"/>
  <c r="O37" i="64"/>
  <c r="Q90" i="43"/>
  <c r="T16" i="80"/>
  <c r="R16" i="80"/>
  <c r="S65" i="30"/>
  <c r="Q65" i="30"/>
  <c r="S62" i="30"/>
  <c r="Q62" i="30"/>
  <c r="N77" i="64"/>
  <c r="O76" i="64"/>
  <c r="M76" i="64"/>
  <c r="R16" i="79" l="1"/>
  <c r="T16" i="79"/>
  <c r="Q75" i="43"/>
  <c r="T74" i="70"/>
  <c r="R74" i="70"/>
  <c r="Q63" i="43"/>
  <c r="T62" i="70"/>
  <c r="R62" i="70"/>
  <c r="R46" i="70"/>
  <c r="T46" i="70"/>
  <c r="Q47" i="43"/>
  <c r="T30" i="70"/>
  <c r="R30" i="70"/>
  <c r="Q31" i="43"/>
  <c r="T14" i="70"/>
  <c r="R14" i="70"/>
  <c r="S15" i="43"/>
  <c r="Q15" i="43"/>
  <c r="R64" i="69"/>
  <c r="T64" i="69"/>
  <c r="R91" i="70"/>
  <c r="T91" i="70"/>
  <c r="N55" i="64"/>
  <c r="O54" i="64"/>
  <c r="M54" i="64"/>
  <c r="O38" i="64"/>
  <c r="N39" i="64"/>
  <c r="M38" i="64"/>
  <c r="Q91" i="43"/>
  <c r="T17" i="80"/>
  <c r="R17" i="80"/>
  <c r="Q64" i="30"/>
  <c r="S64" i="30"/>
  <c r="O77" i="64"/>
  <c r="M77" i="64"/>
  <c r="T17" i="79" l="1"/>
  <c r="R17" i="79"/>
  <c r="Q76" i="43"/>
  <c r="R75" i="70"/>
  <c r="T75" i="70"/>
  <c r="Q64" i="43"/>
  <c r="R63" i="70"/>
  <c r="T63" i="70"/>
  <c r="T47" i="70"/>
  <c r="R47" i="70"/>
  <c r="Q48" i="43"/>
  <c r="T31" i="70"/>
  <c r="R31" i="70"/>
  <c r="Q32" i="43"/>
  <c r="Q16" i="43"/>
  <c r="S16" i="43"/>
  <c r="T15" i="70"/>
  <c r="R15" i="70"/>
  <c r="R66" i="69"/>
  <c r="T66" i="69"/>
  <c r="T92" i="70"/>
  <c r="N56" i="64"/>
  <c r="O55" i="64"/>
  <c r="M55" i="64"/>
  <c r="O39" i="64"/>
  <c r="N40" i="64"/>
  <c r="M39" i="64"/>
  <c r="Q92" i="43"/>
  <c r="T18" i="80"/>
  <c r="R18" i="80"/>
  <c r="S66" i="30"/>
  <c r="Q66" i="30"/>
  <c r="R18" i="79" l="1"/>
  <c r="T18" i="79"/>
  <c r="R92" i="70"/>
  <c r="Q77" i="43"/>
  <c r="T76" i="70"/>
  <c r="R76" i="70"/>
  <c r="Q65" i="43"/>
  <c r="R64" i="70"/>
  <c r="T64" i="70"/>
  <c r="T48" i="70"/>
  <c r="R48" i="70"/>
  <c r="Q49" i="43"/>
  <c r="T32" i="70"/>
  <c r="R32" i="70"/>
  <c r="Q33" i="43"/>
  <c r="T16" i="70"/>
  <c r="R16" i="70"/>
  <c r="S17" i="43"/>
  <c r="Q17" i="43"/>
  <c r="Q93" i="43"/>
  <c r="N57" i="64"/>
  <c r="O56" i="64"/>
  <c r="M56" i="64"/>
  <c r="O40" i="64"/>
  <c r="N41" i="64"/>
  <c r="M40" i="64"/>
  <c r="T19" i="80"/>
  <c r="R19" i="80"/>
  <c r="R19" i="79" l="1"/>
  <c r="T19" i="79"/>
  <c r="Q78" i="43"/>
  <c r="R77" i="70"/>
  <c r="T77" i="70"/>
  <c r="Q66" i="43"/>
  <c r="T65" i="70"/>
  <c r="R65" i="70"/>
  <c r="T49" i="70"/>
  <c r="R49" i="70"/>
  <c r="Q50" i="43"/>
  <c r="T33" i="70"/>
  <c r="R33" i="70"/>
  <c r="Q34" i="43"/>
  <c r="T17" i="70"/>
  <c r="R17" i="70"/>
  <c r="S18" i="43"/>
  <c r="Q18" i="43"/>
  <c r="T93" i="70"/>
  <c r="R93" i="70"/>
  <c r="N58" i="64"/>
  <c r="O57" i="64"/>
  <c r="M57" i="64"/>
  <c r="O41" i="64"/>
  <c r="N42" i="64"/>
  <c r="M41" i="64"/>
  <c r="T20" i="80"/>
  <c r="R20" i="80"/>
  <c r="T20" i="79" l="1"/>
  <c r="R20" i="79"/>
  <c r="Q79" i="43"/>
  <c r="R78" i="70"/>
  <c r="T78" i="70"/>
  <c r="R66" i="70"/>
  <c r="T66" i="70"/>
  <c r="T50" i="70"/>
  <c r="R50" i="70"/>
  <c r="Q51" i="43"/>
  <c r="T34" i="70"/>
  <c r="R34" i="70"/>
  <c r="Q35" i="43"/>
  <c r="T18" i="70"/>
  <c r="R18" i="70"/>
  <c r="Q19" i="43"/>
  <c r="S19" i="43"/>
  <c r="N59" i="64"/>
  <c r="O58" i="64"/>
  <c r="M58" i="64"/>
  <c r="O42" i="64"/>
  <c r="N43" i="64"/>
  <c r="M42" i="64"/>
  <c r="R21" i="80"/>
  <c r="T21" i="79" l="1"/>
  <c r="R21" i="79"/>
  <c r="Q80" i="43"/>
  <c r="T79" i="70"/>
  <c r="R79" i="70"/>
  <c r="R51" i="70"/>
  <c r="T51" i="70"/>
  <c r="Q52" i="43"/>
  <c r="T35" i="70"/>
  <c r="R35" i="70"/>
  <c r="Q36" i="43"/>
  <c r="T19" i="70"/>
  <c r="R19" i="70"/>
  <c r="S20" i="43"/>
  <c r="Q20" i="43"/>
  <c r="N60" i="64"/>
  <c r="O59" i="64"/>
  <c r="M59" i="64"/>
  <c r="O43" i="64"/>
  <c r="N44" i="64"/>
  <c r="M43" i="64"/>
  <c r="T22" i="80"/>
  <c r="R22" i="80"/>
  <c r="T22" i="79" l="1"/>
  <c r="R22" i="79"/>
  <c r="Q81" i="43"/>
  <c r="T80" i="70"/>
  <c r="R80" i="70"/>
  <c r="R52" i="70"/>
  <c r="T52" i="70"/>
  <c r="Q53" i="43"/>
  <c r="R36" i="70"/>
  <c r="T36" i="70"/>
  <c r="Q37" i="43"/>
  <c r="S21" i="43"/>
  <c r="Q21" i="43"/>
  <c r="T20" i="70"/>
  <c r="R20" i="70"/>
  <c r="N61" i="64"/>
  <c r="O60" i="64"/>
  <c r="M60" i="64"/>
  <c r="N45" i="64"/>
  <c r="O44" i="64"/>
  <c r="M44" i="64"/>
  <c r="T23" i="80"/>
  <c r="R23" i="80"/>
  <c r="T23" i="79" l="1"/>
  <c r="R23" i="79"/>
  <c r="Q82" i="43"/>
  <c r="R81" i="70"/>
  <c r="T81" i="70"/>
  <c r="T53" i="70"/>
  <c r="R53" i="70"/>
  <c r="Q54" i="43"/>
  <c r="T37" i="70"/>
  <c r="R37" i="70"/>
  <c r="Q38" i="43"/>
  <c r="R21" i="70"/>
  <c r="T21" i="70"/>
  <c r="Q22" i="43"/>
  <c r="S22" i="43"/>
  <c r="O61" i="64"/>
  <c r="M61" i="64"/>
  <c r="M45" i="64"/>
  <c r="O45" i="64"/>
  <c r="T82" i="70" l="1"/>
  <c r="R82" i="70"/>
  <c r="T54" i="70"/>
  <c r="R54" i="70"/>
  <c r="Q55" i="43"/>
  <c r="R38" i="70"/>
  <c r="T38" i="70"/>
  <c r="Q39" i="43"/>
  <c r="R22" i="70"/>
  <c r="T22" i="70"/>
  <c r="S23" i="43"/>
  <c r="Q23" i="43"/>
  <c r="R55" i="70" l="1"/>
  <c r="T55" i="70"/>
  <c r="T39" i="70"/>
  <c r="R39" i="70"/>
  <c r="T23" i="70"/>
  <c r="R23" i="70"/>
</calcChain>
</file>

<file path=xl/comments1.xml><?xml version="1.0" encoding="utf-8"?>
<comments xmlns="http://schemas.openxmlformats.org/spreadsheetml/2006/main">
  <authors>
    <author>Автор</author>
  </authors>
  <commentList>
    <comment ref="O7" authorId="0">
      <text>
        <r>
          <rPr>
            <b/>
            <sz val="8"/>
            <color indexed="81"/>
            <rFont val="Tahoma"/>
            <family val="2"/>
            <charset val="204"/>
          </rPr>
          <t>Автор:</t>
        </r>
        <r>
          <rPr>
            <sz val="8"/>
            <color indexed="81"/>
            <rFont val="Tahoma"/>
            <family val="2"/>
            <charset val="204"/>
          </rPr>
          <t xml:space="preserve">
11 поддонов</t>
        </r>
      </text>
    </comment>
    <comment ref="P7" authorId="0">
      <text>
        <r>
          <rPr>
            <b/>
            <sz val="8"/>
            <color indexed="81"/>
            <rFont val="Tahoma"/>
            <family val="2"/>
            <charset val="204"/>
          </rPr>
          <t>Автор:</t>
        </r>
        <r>
          <rPr>
            <sz val="8"/>
            <color indexed="81"/>
            <rFont val="Tahoma"/>
            <family val="2"/>
            <charset val="204"/>
          </rPr>
          <t xml:space="preserve">
14 поддонов</t>
        </r>
      </text>
    </comment>
  </commentList>
</comments>
</file>

<file path=xl/comments10.xml><?xml version="1.0" encoding="utf-8"?>
<comments xmlns="http://schemas.openxmlformats.org/spreadsheetml/2006/main">
  <authors>
    <author>Капранов Дмитрий</author>
  </authors>
  <commentList>
    <comment ref="O7" authorId="0">
      <text>
        <r>
          <rPr>
            <b/>
            <sz val="8"/>
            <color indexed="81"/>
            <rFont val="Tahoma"/>
            <family val="2"/>
            <charset val="204"/>
          </rPr>
          <t>Капранов Дмитрий:</t>
        </r>
        <r>
          <rPr>
            <sz val="8"/>
            <color indexed="81"/>
            <rFont val="Tahoma"/>
            <family val="2"/>
            <charset val="204"/>
          </rPr>
          <t xml:space="preserve">
11 поддонов</t>
        </r>
      </text>
    </comment>
    <comment ref="P7" authorId="0">
      <text>
        <r>
          <rPr>
            <b/>
            <sz val="8"/>
            <color indexed="81"/>
            <rFont val="Tahoma"/>
            <family val="2"/>
            <charset val="204"/>
          </rPr>
          <t>Капранов Дмитрий:</t>
        </r>
        <r>
          <rPr>
            <sz val="8"/>
            <color indexed="81"/>
            <rFont val="Tahoma"/>
            <family val="2"/>
            <charset val="204"/>
          </rPr>
          <t xml:space="preserve">
14 поддонов</t>
        </r>
      </text>
    </comment>
  </commentList>
</comments>
</file>

<file path=xl/comments11.xml><?xml version="1.0" encoding="utf-8"?>
<comments xmlns="http://schemas.openxmlformats.org/spreadsheetml/2006/main">
  <authors>
    <author>Автор</author>
  </authors>
  <commentList>
    <comment ref="O7" authorId="0">
      <text>
        <r>
          <rPr>
            <b/>
            <sz val="8"/>
            <color indexed="81"/>
            <rFont val="Tahoma"/>
            <family val="2"/>
            <charset val="204"/>
          </rPr>
          <t>Автор:</t>
        </r>
        <r>
          <rPr>
            <sz val="8"/>
            <color indexed="81"/>
            <rFont val="Tahoma"/>
            <family val="2"/>
            <charset val="204"/>
          </rPr>
          <t xml:space="preserve">
11 поддонов</t>
        </r>
      </text>
    </comment>
    <comment ref="P7" authorId="0">
      <text>
        <r>
          <rPr>
            <b/>
            <sz val="8"/>
            <color indexed="81"/>
            <rFont val="Tahoma"/>
            <family val="2"/>
            <charset val="204"/>
          </rPr>
          <t>Автор:</t>
        </r>
        <r>
          <rPr>
            <sz val="8"/>
            <color indexed="81"/>
            <rFont val="Tahoma"/>
            <family val="2"/>
            <charset val="204"/>
          </rPr>
          <t xml:space="preserve">
14 поддонов</t>
        </r>
      </text>
    </comment>
  </commentList>
</comments>
</file>

<file path=xl/comments12.xml><?xml version="1.0" encoding="utf-8"?>
<comments xmlns="http://schemas.openxmlformats.org/spreadsheetml/2006/main">
  <authors>
    <author>Автор</author>
  </authors>
  <commentList>
    <comment ref="O7" authorId="0">
      <text>
        <r>
          <rPr>
            <b/>
            <sz val="8"/>
            <color indexed="81"/>
            <rFont val="Tahoma"/>
            <family val="2"/>
            <charset val="204"/>
          </rPr>
          <t>Автор:</t>
        </r>
        <r>
          <rPr>
            <sz val="8"/>
            <color indexed="81"/>
            <rFont val="Tahoma"/>
            <family val="2"/>
            <charset val="204"/>
          </rPr>
          <t xml:space="preserve">
11 поддонов</t>
        </r>
      </text>
    </comment>
    <comment ref="P7" authorId="0">
      <text>
        <r>
          <rPr>
            <b/>
            <sz val="8"/>
            <color indexed="81"/>
            <rFont val="Tahoma"/>
            <family val="2"/>
            <charset val="204"/>
          </rPr>
          <t>Автор:</t>
        </r>
        <r>
          <rPr>
            <sz val="8"/>
            <color indexed="81"/>
            <rFont val="Tahoma"/>
            <family val="2"/>
            <charset val="204"/>
          </rPr>
          <t xml:space="preserve">
14 поддонов</t>
        </r>
      </text>
    </comment>
  </commentList>
</comments>
</file>

<file path=xl/comments13.xml><?xml version="1.0" encoding="utf-8"?>
<comments xmlns="http://schemas.openxmlformats.org/spreadsheetml/2006/main">
  <authors>
    <author>Автор</author>
  </authors>
  <commentList>
    <comment ref="O7" authorId="0">
      <text>
        <r>
          <rPr>
            <b/>
            <sz val="8"/>
            <color indexed="81"/>
            <rFont val="Tahoma"/>
            <family val="2"/>
            <charset val="204"/>
          </rPr>
          <t>Автор:</t>
        </r>
        <r>
          <rPr>
            <sz val="8"/>
            <color indexed="81"/>
            <rFont val="Tahoma"/>
            <family val="2"/>
            <charset val="204"/>
          </rPr>
          <t xml:space="preserve">
11 поддонов</t>
        </r>
      </text>
    </comment>
    <comment ref="P7" authorId="0">
      <text>
        <r>
          <rPr>
            <b/>
            <sz val="8"/>
            <color indexed="81"/>
            <rFont val="Tahoma"/>
            <family val="2"/>
            <charset val="204"/>
          </rPr>
          <t>Автор:</t>
        </r>
        <r>
          <rPr>
            <sz val="8"/>
            <color indexed="81"/>
            <rFont val="Tahoma"/>
            <family val="2"/>
            <charset val="204"/>
          </rPr>
          <t xml:space="preserve">
14 поддонов</t>
        </r>
      </text>
    </comment>
  </commentList>
</comments>
</file>

<file path=xl/comments14.xml><?xml version="1.0" encoding="utf-8"?>
<comments xmlns="http://schemas.openxmlformats.org/spreadsheetml/2006/main">
  <authors>
    <author>Автор</author>
  </authors>
  <commentList>
    <comment ref="P7" authorId="0">
      <text>
        <r>
          <rPr>
            <b/>
            <sz val="8"/>
            <color indexed="81"/>
            <rFont val="Tahoma"/>
            <family val="2"/>
            <charset val="204"/>
          </rPr>
          <t>Автор:</t>
        </r>
        <r>
          <rPr>
            <sz val="8"/>
            <color indexed="81"/>
            <rFont val="Tahoma"/>
            <family val="2"/>
            <charset val="204"/>
          </rPr>
          <t xml:space="preserve">
11 поддонов</t>
        </r>
      </text>
    </comment>
    <comment ref="Q7" authorId="0">
      <text>
        <r>
          <rPr>
            <b/>
            <sz val="8"/>
            <color indexed="81"/>
            <rFont val="Tahoma"/>
            <family val="2"/>
            <charset val="204"/>
          </rPr>
          <t>Автор:</t>
        </r>
        <r>
          <rPr>
            <sz val="8"/>
            <color indexed="81"/>
            <rFont val="Tahoma"/>
            <family val="2"/>
            <charset val="204"/>
          </rPr>
          <t xml:space="preserve">
14 поддонов</t>
        </r>
      </text>
    </comment>
  </commentList>
</comments>
</file>

<file path=xl/comments15.xml><?xml version="1.0" encoding="utf-8"?>
<comments xmlns="http://schemas.openxmlformats.org/spreadsheetml/2006/main">
  <authors>
    <author>Автор</author>
  </authors>
  <commentList>
    <comment ref="P7" authorId="0">
      <text>
        <r>
          <rPr>
            <b/>
            <sz val="8"/>
            <color indexed="81"/>
            <rFont val="Tahoma"/>
            <family val="2"/>
            <charset val="204"/>
          </rPr>
          <t>Автор:</t>
        </r>
        <r>
          <rPr>
            <sz val="8"/>
            <color indexed="81"/>
            <rFont val="Tahoma"/>
            <family val="2"/>
            <charset val="204"/>
          </rPr>
          <t xml:space="preserve">
11 поддонов</t>
        </r>
      </text>
    </comment>
    <comment ref="Q7" authorId="0">
      <text>
        <r>
          <rPr>
            <b/>
            <sz val="8"/>
            <color indexed="81"/>
            <rFont val="Tahoma"/>
            <family val="2"/>
            <charset val="204"/>
          </rPr>
          <t>Автор:</t>
        </r>
        <r>
          <rPr>
            <sz val="8"/>
            <color indexed="81"/>
            <rFont val="Tahoma"/>
            <family val="2"/>
            <charset val="204"/>
          </rPr>
          <t xml:space="preserve">
14 поддонов</t>
        </r>
      </text>
    </comment>
  </commentList>
</comments>
</file>

<file path=xl/comments16.xml><?xml version="1.0" encoding="utf-8"?>
<comments xmlns="http://schemas.openxmlformats.org/spreadsheetml/2006/main">
  <authors>
    <author>Автор</author>
  </authors>
  <commentList>
    <comment ref="P7" authorId="0">
      <text>
        <r>
          <rPr>
            <b/>
            <sz val="8"/>
            <color indexed="81"/>
            <rFont val="Tahoma"/>
            <family val="2"/>
            <charset val="204"/>
          </rPr>
          <t>Автор:</t>
        </r>
        <r>
          <rPr>
            <sz val="8"/>
            <color indexed="81"/>
            <rFont val="Tahoma"/>
            <family val="2"/>
            <charset val="204"/>
          </rPr>
          <t xml:space="preserve">
11 поддонов</t>
        </r>
      </text>
    </comment>
    <comment ref="Q7" authorId="0">
      <text>
        <r>
          <rPr>
            <b/>
            <sz val="8"/>
            <color indexed="81"/>
            <rFont val="Tahoma"/>
            <family val="2"/>
            <charset val="204"/>
          </rPr>
          <t>Автор:</t>
        </r>
        <r>
          <rPr>
            <sz val="8"/>
            <color indexed="81"/>
            <rFont val="Tahoma"/>
            <family val="2"/>
            <charset val="204"/>
          </rPr>
          <t xml:space="preserve">
14 поддонов</t>
        </r>
      </text>
    </comment>
  </commentList>
</comments>
</file>

<file path=xl/comments17.xml><?xml version="1.0" encoding="utf-8"?>
<comments xmlns="http://schemas.openxmlformats.org/spreadsheetml/2006/main">
  <authors>
    <author>Автор</author>
    <author>suhareva</author>
  </authors>
  <commentList>
    <comment ref="P7" authorId="0">
      <text>
        <r>
          <rPr>
            <b/>
            <sz val="8"/>
            <color indexed="81"/>
            <rFont val="Tahoma"/>
            <family val="2"/>
            <charset val="204"/>
          </rPr>
          <t>Автор:</t>
        </r>
        <r>
          <rPr>
            <sz val="8"/>
            <color indexed="81"/>
            <rFont val="Tahoma"/>
            <family val="2"/>
            <charset val="204"/>
          </rPr>
          <t xml:space="preserve">
11 поддонов</t>
        </r>
      </text>
    </comment>
    <comment ref="Q7" authorId="0">
      <text>
        <r>
          <rPr>
            <b/>
            <sz val="8"/>
            <color indexed="81"/>
            <rFont val="Tahoma"/>
            <family val="2"/>
            <charset val="204"/>
          </rPr>
          <t>Автор:</t>
        </r>
        <r>
          <rPr>
            <sz val="8"/>
            <color indexed="81"/>
            <rFont val="Tahoma"/>
            <family val="2"/>
            <charset val="204"/>
          </rPr>
          <t xml:space="preserve">
14 поддонов</t>
        </r>
      </text>
    </comment>
    <comment ref="E9" authorId="1">
      <text>
        <r>
          <rPr>
            <b/>
            <sz val="11"/>
            <color indexed="81"/>
            <rFont val="Tahoma"/>
            <family val="2"/>
            <charset val="204"/>
          </rPr>
          <t>открытые торцы</t>
        </r>
        <r>
          <rPr>
            <sz val="8"/>
            <color indexed="81"/>
            <rFont val="Tahoma"/>
            <family val="2"/>
            <charset val="204"/>
          </rPr>
          <t xml:space="preserve">
</t>
        </r>
      </text>
    </comment>
    <comment ref="E10" authorId="1">
      <text>
        <r>
          <rPr>
            <b/>
            <sz val="11"/>
            <color indexed="81"/>
            <rFont val="Tahoma"/>
            <family val="2"/>
            <charset val="204"/>
          </rPr>
          <t>открытые торцы</t>
        </r>
        <r>
          <rPr>
            <sz val="8"/>
            <color indexed="81"/>
            <rFont val="Tahoma"/>
            <family val="2"/>
            <charset val="204"/>
          </rPr>
          <t xml:space="preserve">
</t>
        </r>
      </text>
    </comment>
    <comment ref="E11" authorId="1">
      <text>
        <r>
          <rPr>
            <b/>
            <sz val="11"/>
            <color indexed="81"/>
            <rFont val="Tahoma"/>
            <family val="2"/>
            <charset val="204"/>
          </rPr>
          <t>33% компрессия</t>
        </r>
        <r>
          <rPr>
            <sz val="8"/>
            <color indexed="81"/>
            <rFont val="Tahoma"/>
            <family val="2"/>
            <charset val="204"/>
          </rPr>
          <t xml:space="preserve">
</t>
        </r>
      </text>
    </comment>
    <comment ref="E49" authorId="1">
      <text>
        <r>
          <rPr>
            <b/>
            <sz val="11"/>
            <color indexed="81"/>
            <rFont val="Tahoma"/>
            <family val="2"/>
            <charset val="204"/>
          </rPr>
          <t>открытые торцы</t>
        </r>
        <r>
          <rPr>
            <sz val="8"/>
            <color indexed="81"/>
            <rFont val="Tahoma"/>
            <family val="2"/>
            <charset val="204"/>
          </rPr>
          <t xml:space="preserve">
</t>
        </r>
      </text>
    </comment>
    <comment ref="E56" authorId="1">
      <text>
        <r>
          <rPr>
            <b/>
            <sz val="11"/>
            <color indexed="81"/>
            <rFont val="Tahoma"/>
            <family val="2"/>
            <charset val="204"/>
          </rPr>
          <t>открытые торцы</t>
        </r>
      </text>
    </comment>
  </commentList>
</comments>
</file>

<file path=xl/comments18.xml><?xml version="1.0" encoding="utf-8"?>
<comments xmlns="http://schemas.openxmlformats.org/spreadsheetml/2006/main">
  <authors>
    <author>Автор</author>
  </authors>
  <commentList>
    <comment ref="P7" authorId="0">
      <text>
        <r>
          <rPr>
            <b/>
            <sz val="8"/>
            <color indexed="81"/>
            <rFont val="Tahoma"/>
            <family val="2"/>
            <charset val="204"/>
          </rPr>
          <t>Автор:</t>
        </r>
        <r>
          <rPr>
            <sz val="8"/>
            <color indexed="81"/>
            <rFont val="Tahoma"/>
            <family val="2"/>
            <charset val="204"/>
          </rPr>
          <t xml:space="preserve">
11 поддонов</t>
        </r>
      </text>
    </comment>
    <comment ref="Q7" authorId="0">
      <text>
        <r>
          <rPr>
            <b/>
            <sz val="8"/>
            <color indexed="81"/>
            <rFont val="Tahoma"/>
            <family val="2"/>
            <charset val="204"/>
          </rPr>
          <t>Автор:</t>
        </r>
        <r>
          <rPr>
            <sz val="8"/>
            <color indexed="81"/>
            <rFont val="Tahoma"/>
            <family val="2"/>
            <charset val="204"/>
          </rPr>
          <t xml:space="preserve">
14 поддонов</t>
        </r>
      </text>
    </comment>
  </commentList>
</comments>
</file>

<file path=xl/comments19.xml><?xml version="1.0" encoding="utf-8"?>
<comments xmlns="http://schemas.openxmlformats.org/spreadsheetml/2006/main">
  <authors>
    <author>Автор</author>
  </authors>
  <commentList>
    <comment ref="P7" authorId="0">
      <text>
        <r>
          <rPr>
            <b/>
            <sz val="8"/>
            <color indexed="81"/>
            <rFont val="Tahoma"/>
            <family val="2"/>
            <charset val="204"/>
          </rPr>
          <t>Автор:</t>
        </r>
        <r>
          <rPr>
            <sz val="8"/>
            <color indexed="81"/>
            <rFont val="Tahoma"/>
            <family val="2"/>
            <charset val="204"/>
          </rPr>
          <t xml:space="preserve">
11 поддонов</t>
        </r>
      </text>
    </comment>
    <comment ref="Q7" authorId="0">
      <text>
        <r>
          <rPr>
            <b/>
            <sz val="8"/>
            <color indexed="81"/>
            <rFont val="Tahoma"/>
            <family val="2"/>
            <charset val="204"/>
          </rPr>
          <t>Автор:</t>
        </r>
        <r>
          <rPr>
            <sz val="8"/>
            <color indexed="81"/>
            <rFont val="Tahoma"/>
            <family val="2"/>
            <charset val="204"/>
          </rPr>
          <t xml:space="preserve">
14 поддонов</t>
        </r>
      </text>
    </comment>
  </commentList>
</comments>
</file>

<file path=xl/comments2.xml><?xml version="1.0" encoding="utf-8"?>
<comments xmlns="http://schemas.openxmlformats.org/spreadsheetml/2006/main">
  <authors>
    <author>Автор</author>
  </authors>
  <commentList>
    <comment ref="O7" authorId="0">
      <text>
        <r>
          <rPr>
            <b/>
            <sz val="8"/>
            <color indexed="81"/>
            <rFont val="Tahoma"/>
            <family val="2"/>
            <charset val="204"/>
          </rPr>
          <t>Автор:</t>
        </r>
        <r>
          <rPr>
            <sz val="8"/>
            <color indexed="81"/>
            <rFont val="Tahoma"/>
            <family val="2"/>
            <charset val="204"/>
          </rPr>
          <t xml:space="preserve">
11 поддонов</t>
        </r>
      </text>
    </comment>
    <comment ref="P7" authorId="0">
      <text>
        <r>
          <rPr>
            <b/>
            <sz val="8"/>
            <color indexed="81"/>
            <rFont val="Tahoma"/>
            <family val="2"/>
            <charset val="204"/>
          </rPr>
          <t>Автор:</t>
        </r>
        <r>
          <rPr>
            <sz val="8"/>
            <color indexed="81"/>
            <rFont val="Tahoma"/>
            <family val="2"/>
            <charset val="204"/>
          </rPr>
          <t xml:space="preserve">
14 поддонов</t>
        </r>
      </text>
    </comment>
  </commentList>
</comments>
</file>

<file path=xl/comments20.xml><?xml version="1.0" encoding="utf-8"?>
<comments xmlns="http://schemas.openxmlformats.org/spreadsheetml/2006/main">
  <authors>
    <author>Автор</author>
  </authors>
  <commentList>
    <comment ref="P7" authorId="0">
      <text>
        <r>
          <rPr>
            <b/>
            <sz val="8"/>
            <color indexed="81"/>
            <rFont val="Tahoma"/>
            <family val="2"/>
            <charset val="204"/>
          </rPr>
          <t>Автор:</t>
        </r>
        <r>
          <rPr>
            <sz val="8"/>
            <color indexed="81"/>
            <rFont val="Tahoma"/>
            <family val="2"/>
            <charset val="204"/>
          </rPr>
          <t xml:space="preserve">
11 поддонов</t>
        </r>
      </text>
    </comment>
    <comment ref="Q7" authorId="0">
      <text>
        <r>
          <rPr>
            <b/>
            <sz val="8"/>
            <color indexed="81"/>
            <rFont val="Tahoma"/>
            <family val="2"/>
            <charset val="204"/>
          </rPr>
          <t>Автор:</t>
        </r>
        <r>
          <rPr>
            <sz val="8"/>
            <color indexed="81"/>
            <rFont val="Tahoma"/>
            <family val="2"/>
            <charset val="204"/>
          </rPr>
          <t xml:space="preserve">
14 поддонов</t>
        </r>
      </text>
    </comment>
  </commentList>
</comments>
</file>

<file path=xl/comments21.xml><?xml version="1.0" encoding="utf-8"?>
<comments xmlns="http://schemas.openxmlformats.org/spreadsheetml/2006/main">
  <authors>
    <author>Автор</author>
  </authors>
  <commentList>
    <comment ref="P7" authorId="0">
      <text>
        <r>
          <rPr>
            <b/>
            <sz val="8"/>
            <color indexed="81"/>
            <rFont val="Tahoma"/>
            <family val="2"/>
            <charset val="204"/>
          </rPr>
          <t>Автор:</t>
        </r>
        <r>
          <rPr>
            <sz val="8"/>
            <color indexed="81"/>
            <rFont val="Tahoma"/>
            <family val="2"/>
            <charset val="204"/>
          </rPr>
          <t xml:space="preserve">
11 поддонов</t>
        </r>
      </text>
    </comment>
    <comment ref="Q7" authorId="0">
      <text>
        <r>
          <rPr>
            <b/>
            <sz val="8"/>
            <color indexed="81"/>
            <rFont val="Tahoma"/>
            <family val="2"/>
            <charset val="204"/>
          </rPr>
          <t>Автор:</t>
        </r>
        <r>
          <rPr>
            <sz val="8"/>
            <color indexed="81"/>
            <rFont val="Tahoma"/>
            <family val="2"/>
            <charset val="204"/>
          </rPr>
          <t xml:space="preserve">
14 поддонов</t>
        </r>
      </text>
    </comment>
  </commentList>
</comments>
</file>

<file path=xl/comments22.xml><?xml version="1.0" encoding="utf-8"?>
<comments xmlns="http://schemas.openxmlformats.org/spreadsheetml/2006/main">
  <authors>
    <author>suhareva</author>
  </authors>
  <commentList>
    <comment ref="B10" authorId="0">
      <text>
        <r>
          <rPr>
            <b/>
            <sz val="8"/>
            <color indexed="81"/>
            <rFont val="Tahoma"/>
            <family val="2"/>
            <charset val="204"/>
          </rPr>
          <t>33% компрессия</t>
        </r>
        <r>
          <rPr>
            <sz val="8"/>
            <color indexed="81"/>
            <rFont val="Tahoma"/>
            <family val="2"/>
            <charset val="204"/>
          </rPr>
          <t xml:space="preserve">
</t>
        </r>
      </text>
    </comment>
  </commentList>
</comments>
</file>

<file path=xl/comments23.xml><?xml version="1.0" encoding="utf-8"?>
<comments xmlns="http://schemas.openxmlformats.org/spreadsheetml/2006/main">
  <authors>
    <author>Автор</author>
  </authors>
  <commentList>
    <comment ref="P7" authorId="0">
      <text>
        <r>
          <rPr>
            <b/>
            <sz val="8"/>
            <color indexed="81"/>
            <rFont val="Tahoma"/>
            <family val="2"/>
            <charset val="204"/>
          </rPr>
          <t>Автор:</t>
        </r>
        <r>
          <rPr>
            <sz val="8"/>
            <color indexed="81"/>
            <rFont val="Tahoma"/>
            <family val="2"/>
            <charset val="204"/>
          </rPr>
          <t xml:space="preserve">
14 поддонов</t>
        </r>
      </text>
    </comment>
  </commentList>
</comments>
</file>

<file path=xl/comments24.xml><?xml version="1.0" encoding="utf-8"?>
<comments xmlns="http://schemas.openxmlformats.org/spreadsheetml/2006/main">
  <authors>
    <author>Капранов Дмитрий</author>
  </authors>
  <commentList>
    <comment ref="L7" authorId="0">
      <text>
        <r>
          <rPr>
            <b/>
            <sz val="8"/>
            <color indexed="81"/>
            <rFont val="Tahoma"/>
            <family val="2"/>
            <charset val="204"/>
          </rPr>
          <t>Капранов Дмитрий:</t>
        </r>
        <r>
          <rPr>
            <sz val="8"/>
            <color indexed="81"/>
            <rFont val="Tahoma"/>
            <family val="2"/>
            <charset val="204"/>
          </rPr>
          <t xml:space="preserve">
11 поддонов</t>
        </r>
      </text>
    </comment>
    <comment ref="M7" authorId="0">
      <text>
        <r>
          <rPr>
            <b/>
            <sz val="8"/>
            <color indexed="81"/>
            <rFont val="Tahoma"/>
            <family val="2"/>
            <charset val="204"/>
          </rPr>
          <t>Капранов Дмитрий:</t>
        </r>
        <r>
          <rPr>
            <sz val="8"/>
            <color indexed="81"/>
            <rFont val="Tahoma"/>
            <family val="2"/>
            <charset val="204"/>
          </rPr>
          <t xml:space="preserve">
14 поддонов</t>
        </r>
      </text>
    </comment>
  </commentList>
</comments>
</file>

<file path=xl/comments25.xml><?xml version="1.0" encoding="utf-8"?>
<comments xmlns="http://schemas.openxmlformats.org/spreadsheetml/2006/main">
  <authors>
    <author>Капранов Дмитрий</author>
  </authors>
  <commentList>
    <comment ref="J8" authorId="0">
      <text>
        <r>
          <rPr>
            <b/>
            <sz val="8"/>
            <color indexed="81"/>
            <rFont val="Tahoma"/>
            <family val="2"/>
            <charset val="204"/>
          </rPr>
          <t>Капранов Дмитрий:</t>
        </r>
        <r>
          <rPr>
            <sz val="8"/>
            <color indexed="81"/>
            <rFont val="Tahoma"/>
            <family val="2"/>
            <charset val="204"/>
          </rPr>
          <t xml:space="preserve">
11 поддонов</t>
        </r>
      </text>
    </comment>
    <comment ref="K8" authorId="0">
      <text>
        <r>
          <rPr>
            <b/>
            <sz val="8"/>
            <color indexed="81"/>
            <rFont val="Tahoma"/>
            <family val="2"/>
            <charset val="204"/>
          </rPr>
          <t>Капранов Дмитрий:</t>
        </r>
        <r>
          <rPr>
            <sz val="8"/>
            <color indexed="81"/>
            <rFont val="Tahoma"/>
            <family val="2"/>
            <charset val="204"/>
          </rPr>
          <t xml:space="preserve">
14 поддонов</t>
        </r>
      </text>
    </comment>
  </commentList>
</comments>
</file>

<file path=xl/comments26.xml><?xml version="1.0" encoding="utf-8"?>
<comments xmlns="http://schemas.openxmlformats.org/spreadsheetml/2006/main">
  <authors>
    <author>Капранов Дмитрий</author>
  </authors>
  <commentList>
    <comment ref="J8" authorId="0">
      <text>
        <r>
          <rPr>
            <b/>
            <sz val="8"/>
            <color indexed="81"/>
            <rFont val="Tahoma"/>
            <family val="2"/>
            <charset val="204"/>
          </rPr>
          <t>Капранов Дмитрий:</t>
        </r>
        <r>
          <rPr>
            <sz val="8"/>
            <color indexed="81"/>
            <rFont val="Tahoma"/>
            <family val="2"/>
            <charset val="204"/>
          </rPr>
          <t xml:space="preserve">
11 поддонов</t>
        </r>
      </text>
    </comment>
    <comment ref="K8" authorId="0">
      <text>
        <r>
          <rPr>
            <b/>
            <sz val="8"/>
            <color indexed="81"/>
            <rFont val="Tahoma"/>
            <family val="2"/>
            <charset val="204"/>
          </rPr>
          <t>Капранов Дмитрий:</t>
        </r>
        <r>
          <rPr>
            <sz val="8"/>
            <color indexed="81"/>
            <rFont val="Tahoma"/>
            <family val="2"/>
            <charset val="204"/>
          </rPr>
          <t xml:space="preserve">
14 поддонов</t>
        </r>
      </text>
    </comment>
  </commentList>
</comments>
</file>

<file path=xl/comments27.xml><?xml version="1.0" encoding="utf-8"?>
<comments xmlns="http://schemas.openxmlformats.org/spreadsheetml/2006/main">
  <authors>
    <author>Капранов Дмитрий</author>
  </authors>
  <commentList>
    <comment ref="J8" authorId="0">
      <text>
        <r>
          <rPr>
            <b/>
            <sz val="8"/>
            <color indexed="81"/>
            <rFont val="Tahoma"/>
            <family val="2"/>
            <charset val="204"/>
          </rPr>
          <t>Капранов Дмитрий:</t>
        </r>
        <r>
          <rPr>
            <sz val="8"/>
            <color indexed="81"/>
            <rFont val="Tahoma"/>
            <family val="2"/>
            <charset val="204"/>
          </rPr>
          <t xml:space="preserve">
11 поддонов</t>
        </r>
      </text>
    </comment>
    <comment ref="K8" authorId="0">
      <text>
        <r>
          <rPr>
            <b/>
            <sz val="8"/>
            <color indexed="81"/>
            <rFont val="Tahoma"/>
            <family val="2"/>
            <charset val="204"/>
          </rPr>
          <t>Капранов Дмитрий:</t>
        </r>
        <r>
          <rPr>
            <sz val="8"/>
            <color indexed="81"/>
            <rFont val="Tahoma"/>
            <family val="2"/>
            <charset val="204"/>
          </rPr>
          <t xml:space="preserve">
14 поддонов</t>
        </r>
      </text>
    </comment>
  </commentList>
</comments>
</file>

<file path=xl/comments28.xml><?xml version="1.0" encoding="utf-8"?>
<comments xmlns="http://schemas.openxmlformats.org/spreadsheetml/2006/main">
  <authors>
    <author>Капранов Дмитрий</author>
  </authors>
  <commentList>
    <comment ref="J8" authorId="0">
      <text>
        <r>
          <rPr>
            <sz val="8"/>
            <color indexed="81"/>
            <rFont val="Tahoma"/>
            <family val="2"/>
            <charset val="204"/>
          </rPr>
          <t>11 поддонов</t>
        </r>
      </text>
    </comment>
    <comment ref="K8" authorId="0">
      <text>
        <r>
          <rPr>
            <sz val="8"/>
            <color indexed="81"/>
            <rFont val="Tahoma"/>
            <family val="2"/>
            <charset val="204"/>
          </rPr>
          <t>14 поддонов</t>
        </r>
      </text>
    </comment>
  </commentList>
</comments>
</file>

<file path=xl/comments3.xml><?xml version="1.0" encoding="utf-8"?>
<comments xmlns="http://schemas.openxmlformats.org/spreadsheetml/2006/main">
  <authors>
    <author>Автор</author>
  </authors>
  <commentList>
    <comment ref="O7" authorId="0">
      <text>
        <r>
          <rPr>
            <b/>
            <sz val="8"/>
            <color indexed="81"/>
            <rFont val="Tahoma"/>
            <family val="2"/>
            <charset val="204"/>
          </rPr>
          <t>Автор:</t>
        </r>
        <r>
          <rPr>
            <sz val="8"/>
            <color indexed="81"/>
            <rFont val="Tahoma"/>
            <family val="2"/>
            <charset val="204"/>
          </rPr>
          <t xml:space="preserve">
11 поддонов</t>
        </r>
      </text>
    </comment>
    <comment ref="P7" authorId="0">
      <text>
        <r>
          <rPr>
            <b/>
            <sz val="8"/>
            <color indexed="81"/>
            <rFont val="Tahoma"/>
            <family val="2"/>
            <charset val="204"/>
          </rPr>
          <t>Автор:</t>
        </r>
        <r>
          <rPr>
            <sz val="8"/>
            <color indexed="81"/>
            <rFont val="Tahoma"/>
            <family val="2"/>
            <charset val="204"/>
          </rPr>
          <t xml:space="preserve">
14 поддонов</t>
        </r>
      </text>
    </comment>
  </commentList>
</comments>
</file>

<file path=xl/comments4.xml><?xml version="1.0" encoding="utf-8"?>
<comments xmlns="http://schemas.openxmlformats.org/spreadsheetml/2006/main">
  <authors>
    <author>Автор</author>
  </authors>
  <commentList>
    <comment ref="O7" authorId="0">
      <text>
        <r>
          <rPr>
            <b/>
            <sz val="8"/>
            <color indexed="81"/>
            <rFont val="Tahoma"/>
            <family val="2"/>
            <charset val="204"/>
          </rPr>
          <t>Автор:</t>
        </r>
        <r>
          <rPr>
            <sz val="8"/>
            <color indexed="81"/>
            <rFont val="Tahoma"/>
            <family val="2"/>
            <charset val="204"/>
          </rPr>
          <t xml:space="preserve">
11 поддонов</t>
        </r>
      </text>
    </comment>
    <comment ref="P7" authorId="0">
      <text>
        <r>
          <rPr>
            <b/>
            <sz val="8"/>
            <color indexed="81"/>
            <rFont val="Tahoma"/>
            <family val="2"/>
            <charset val="204"/>
          </rPr>
          <t>Автор:</t>
        </r>
        <r>
          <rPr>
            <sz val="8"/>
            <color indexed="81"/>
            <rFont val="Tahoma"/>
            <family val="2"/>
            <charset val="204"/>
          </rPr>
          <t xml:space="preserve">
14 поддонов</t>
        </r>
      </text>
    </comment>
  </commentList>
</comments>
</file>

<file path=xl/comments5.xml><?xml version="1.0" encoding="utf-8"?>
<comments xmlns="http://schemas.openxmlformats.org/spreadsheetml/2006/main">
  <authors>
    <author>Автор</author>
  </authors>
  <commentList>
    <comment ref="P7" authorId="0">
      <text>
        <r>
          <rPr>
            <b/>
            <sz val="8"/>
            <color indexed="81"/>
            <rFont val="Tahoma"/>
            <family val="2"/>
            <charset val="204"/>
          </rPr>
          <t>Автор:</t>
        </r>
        <r>
          <rPr>
            <sz val="8"/>
            <color indexed="81"/>
            <rFont val="Tahoma"/>
            <family val="2"/>
            <charset val="204"/>
          </rPr>
          <t xml:space="preserve">
11 поддонов</t>
        </r>
      </text>
    </comment>
    <comment ref="Q7" authorId="0">
      <text>
        <r>
          <rPr>
            <b/>
            <sz val="8"/>
            <color indexed="81"/>
            <rFont val="Tahoma"/>
            <family val="2"/>
            <charset val="204"/>
          </rPr>
          <t>Автор:</t>
        </r>
        <r>
          <rPr>
            <sz val="8"/>
            <color indexed="81"/>
            <rFont val="Tahoma"/>
            <family val="2"/>
            <charset val="204"/>
          </rPr>
          <t xml:space="preserve">
14 поддонов</t>
        </r>
      </text>
    </comment>
  </commentList>
</comments>
</file>

<file path=xl/comments6.xml><?xml version="1.0" encoding="utf-8"?>
<comments xmlns="http://schemas.openxmlformats.org/spreadsheetml/2006/main">
  <authors>
    <author>Автор</author>
  </authors>
  <commentList>
    <comment ref="P7" authorId="0">
      <text>
        <r>
          <rPr>
            <b/>
            <sz val="8"/>
            <color indexed="81"/>
            <rFont val="Tahoma"/>
            <family val="2"/>
            <charset val="204"/>
          </rPr>
          <t>Автор:</t>
        </r>
        <r>
          <rPr>
            <sz val="8"/>
            <color indexed="81"/>
            <rFont val="Tahoma"/>
            <family val="2"/>
            <charset val="204"/>
          </rPr>
          <t xml:space="preserve">
11 поддонов</t>
        </r>
      </text>
    </comment>
    <comment ref="Q7" authorId="0">
      <text>
        <r>
          <rPr>
            <b/>
            <sz val="8"/>
            <color indexed="81"/>
            <rFont val="Tahoma"/>
            <family val="2"/>
            <charset val="204"/>
          </rPr>
          <t>Автор:</t>
        </r>
        <r>
          <rPr>
            <sz val="8"/>
            <color indexed="81"/>
            <rFont val="Tahoma"/>
            <family val="2"/>
            <charset val="204"/>
          </rPr>
          <t xml:space="preserve">
14 поддонов</t>
        </r>
      </text>
    </comment>
  </commentList>
</comments>
</file>

<file path=xl/comments7.xml><?xml version="1.0" encoding="utf-8"?>
<comments xmlns="http://schemas.openxmlformats.org/spreadsheetml/2006/main">
  <authors>
    <author>Автор</author>
  </authors>
  <commentList>
    <comment ref="O7" authorId="0">
      <text>
        <r>
          <rPr>
            <b/>
            <sz val="8"/>
            <color indexed="81"/>
            <rFont val="Tahoma"/>
            <family val="2"/>
            <charset val="204"/>
          </rPr>
          <t>Автор:</t>
        </r>
        <r>
          <rPr>
            <sz val="8"/>
            <color indexed="81"/>
            <rFont val="Tahoma"/>
            <family val="2"/>
            <charset val="204"/>
          </rPr>
          <t xml:space="preserve">
11 поддонов</t>
        </r>
      </text>
    </comment>
    <comment ref="P7" authorId="0">
      <text>
        <r>
          <rPr>
            <b/>
            <sz val="8"/>
            <color indexed="81"/>
            <rFont val="Tahoma"/>
            <family val="2"/>
            <charset val="204"/>
          </rPr>
          <t>Автор:</t>
        </r>
        <r>
          <rPr>
            <sz val="8"/>
            <color indexed="81"/>
            <rFont val="Tahoma"/>
            <family val="2"/>
            <charset val="204"/>
          </rPr>
          <t xml:space="preserve">
14 поддонов</t>
        </r>
      </text>
    </comment>
  </commentList>
</comments>
</file>

<file path=xl/comments8.xml><?xml version="1.0" encoding="utf-8"?>
<comments xmlns="http://schemas.openxmlformats.org/spreadsheetml/2006/main">
  <authors>
    <author>Автор</author>
  </authors>
  <commentList>
    <comment ref="O7" authorId="0">
      <text>
        <r>
          <rPr>
            <b/>
            <sz val="8"/>
            <color indexed="81"/>
            <rFont val="Tahoma"/>
            <family val="2"/>
            <charset val="204"/>
          </rPr>
          <t>Автор:</t>
        </r>
        <r>
          <rPr>
            <sz val="8"/>
            <color indexed="81"/>
            <rFont val="Tahoma"/>
            <family val="2"/>
            <charset val="204"/>
          </rPr>
          <t xml:space="preserve">
11 поддонов</t>
        </r>
      </text>
    </comment>
    <comment ref="P7" authorId="0">
      <text>
        <r>
          <rPr>
            <b/>
            <sz val="8"/>
            <color indexed="81"/>
            <rFont val="Tahoma"/>
            <family val="2"/>
            <charset val="204"/>
          </rPr>
          <t>Автор:</t>
        </r>
        <r>
          <rPr>
            <sz val="8"/>
            <color indexed="81"/>
            <rFont val="Tahoma"/>
            <family val="2"/>
            <charset val="204"/>
          </rPr>
          <t xml:space="preserve">
14 поддонов</t>
        </r>
      </text>
    </comment>
  </commentList>
</comments>
</file>

<file path=xl/comments9.xml><?xml version="1.0" encoding="utf-8"?>
<comments xmlns="http://schemas.openxmlformats.org/spreadsheetml/2006/main">
  <authors>
    <author>Автор</author>
  </authors>
  <commentList>
    <comment ref="O7" authorId="0">
      <text>
        <r>
          <rPr>
            <b/>
            <sz val="8"/>
            <color indexed="81"/>
            <rFont val="Tahoma"/>
            <family val="2"/>
            <charset val="204"/>
          </rPr>
          <t>Автор:</t>
        </r>
        <r>
          <rPr>
            <sz val="8"/>
            <color indexed="81"/>
            <rFont val="Tahoma"/>
            <family val="2"/>
            <charset val="204"/>
          </rPr>
          <t xml:space="preserve">
11 поддонов</t>
        </r>
      </text>
    </comment>
    <comment ref="P7" authorId="0">
      <text>
        <r>
          <rPr>
            <b/>
            <sz val="8"/>
            <color indexed="81"/>
            <rFont val="Tahoma"/>
            <family val="2"/>
            <charset val="204"/>
          </rPr>
          <t>Автор:</t>
        </r>
        <r>
          <rPr>
            <sz val="8"/>
            <color indexed="81"/>
            <rFont val="Tahoma"/>
            <family val="2"/>
            <charset val="204"/>
          </rPr>
          <t xml:space="preserve">
14 поддонов</t>
        </r>
      </text>
    </comment>
  </commentList>
</comments>
</file>

<file path=xl/sharedStrings.xml><?xml version="1.0" encoding="utf-8"?>
<sst xmlns="http://schemas.openxmlformats.org/spreadsheetml/2006/main" count="7877" uniqueCount="762">
  <si>
    <t>Наименование продукции</t>
  </si>
  <si>
    <t>Длина, мм</t>
  </si>
  <si>
    <t>Ширина, мм</t>
  </si>
  <si>
    <t>Толщина, мм</t>
  </si>
  <si>
    <t>Цена с НДС, руб.</t>
  </si>
  <si>
    <t>Плит, шт</t>
  </si>
  <si>
    <t>Упаковка</t>
  </si>
  <si>
    <t>Примечание:</t>
  </si>
  <si>
    <t>ТЕХНОЛАЙТ ОПТИМА</t>
  </si>
  <si>
    <t>ТЕХНОБЛОК СТАНДАРТ</t>
  </si>
  <si>
    <t>ТЕХНОВЕНТ СТАНДАРТ</t>
  </si>
  <si>
    <t>ТЕХНОВЕНТ ОПТИМА</t>
  </si>
  <si>
    <t>ТЕХНОВЕНТ ПРОФ</t>
  </si>
  <si>
    <t>ТЕХНОФАС</t>
  </si>
  <si>
    <t>ТЕХНОРУФ 45</t>
  </si>
  <si>
    <t>ТЕХНОСЭНДВИЧ С</t>
  </si>
  <si>
    <t>ТЕХНОСЭНДВИЧ К</t>
  </si>
  <si>
    <r>
      <t>м</t>
    </r>
    <r>
      <rPr>
        <b/>
        <vertAlign val="superscript"/>
        <sz val="14"/>
        <rFont val="Arial"/>
        <family val="2"/>
        <charset val="204"/>
      </rPr>
      <t>2</t>
    </r>
  </si>
  <si>
    <r>
      <t>м</t>
    </r>
    <r>
      <rPr>
        <b/>
        <vertAlign val="superscript"/>
        <sz val="14"/>
        <rFont val="Arial"/>
        <family val="2"/>
        <charset val="204"/>
      </rPr>
      <t>3</t>
    </r>
  </si>
  <si>
    <t xml:space="preserve">Прайс-лист на теплоизоляционные материалы </t>
  </si>
  <si>
    <t>производства компании ТехноНИКОЛЬ</t>
  </si>
  <si>
    <t>Корпорация ТехноНИКОЛЬ</t>
  </si>
  <si>
    <r>
      <t>м</t>
    </r>
    <r>
      <rPr>
        <b/>
        <vertAlign val="superscript"/>
        <sz val="24"/>
        <color indexed="10"/>
        <rFont val="Arial"/>
        <family val="2"/>
        <charset val="204"/>
      </rPr>
      <t>2</t>
    </r>
  </si>
  <si>
    <t>2.       Счет считается действительным к оплате в течении 3-х банковских дней.</t>
  </si>
  <si>
    <t>3.       Возможно изготовление нестандартных размеров по согласованию с заказчиком.</t>
  </si>
  <si>
    <t>ТЕХНОРУФ В60</t>
  </si>
  <si>
    <t>Средний слой в слоистых кладках</t>
  </si>
  <si>
    <t>Вентилируемые фасады</t>
  </si>
  <si>
    <t>Нижний слой плоской кровли</t>
  </si>
  <si>
    <t>Верхний слой плоской кровли</t>
  </si>
  <si>
    <t>Фасады под штукатурку</t>
  </si>
  <si>
    <t>Ненагружаемые конструкции, каркасные конструкциии.</t>
  </si>
  <si>
    <t>Плоская кровля в один слой</t>
  </si>
  <si>
    <t>ТЕХНОВЕНТ ДВОЙНОЙ</t>
  </si>
  <si>
    <t>ТЕХНОФАС ДВОЙНОЙ</t>
  </si>
  <si>
    <t>ТЕХНОРУФ ДВОЙНОЙ</t>
  </si>
  <si>
    <r>
      <t>ТИП</t>
    </r>
    <r>
      <rPr>
        <b/>
        <vertAlign val="superscript"/>
        <sz val="14"/>
        <rFont val="Arial"/>
        <family val="2"/>
        <charset val="204"/>
      </rPr>
      <t>5</t>
    </r>
  </si>
  <si>
    <t>www.teplo.tn.ru</t>
  </si>
  <si>
    <t xml:space="preserve">teplo@tn.ru  </t>
  </si>
  <si>
    <t>тел. (495) 925-57-75</t>
  </si>
  <si>
    <t>129110, Москва, ул.Гиляровского, д.47, стр.5</t>
  </si>
  <si>
    <t>РОКЛАЙТ</t>
  </si>
  <si>
    <r>
      <t>120 м</t>
    </r>
    <r>
      <rPr>
        <b/>
        <vertAlign val="superscript"/>
        <sz val="14"/>
        <rFont val="Arial"/>
        <family val="2"/>
        <charset val="204"/>
      </rPr>
      <t>3</t>
    </r>
  </si>
  <si>
    <r>
      <t>92 м</t>
    </r>
    <r>
      <rPr>
        <b/>
        <vertAlign val="superscript"/>
        <sz val="14"/>
        <rFont val="Arial"/>
        <family val="2"/>
        <charset val="204"/>
      </rPr>
      <t>3</t>
    </r>
  </si>
  <si>
    <t>Норма загрузки в фуру, объемом, куб.м.</t>
  </si>
  <si>
    <t>1.       Цена указанна с учетом стоимости доставки, согласно тарифов Завода.</t>
  </si>
  <si>
    <t>С</t>
  </si>
  <si>
    <t>Пачек, шт</t>
  </si>
  <si>
    <t>Количество в поддоне,</t>
  </si>
  <si>
    <t>Количество в пачке</t>
  </si>
  <si>
    <t>Стеновые сэндвич-панели</t>
  </si>
  <si>
    <t>Кровельные сэндвич-панели</t>
  </si>
  <si>
    <r>
      <t xml:space="preserve">4.       Тип продукта указывает на ориентировочный </t>
    </r>
    <r>
      <rPr>
        <u/>
        <sz val="14"/>
        <rFont val="Arial"/>
        <family val="2"/>
        <charset val="204"/>
      </rPr>
      <t>максимальный</t>
    </r>
    <r>
      <rPr>
        <sz val="14"/>
        <rFont val="Arial"/>
        <family val="2"/>
        <charset val="204"/>
      </rPr>
      <t xml:space="preserve"> срок поставки с момента размещения заказа.</t>
    </r>
  </si>
  <si>
    <t>Регион Центр (СЗ ФО, Центральный ФО, Южный ФО)</t>
  </si>
  <si>
    <t>А - отгрузка в течении 24 часов (заявки принимаются в любом количестве, кратно пачке).</t>
  </si>
  <si>
    <t>ТЕХНОРУФ Н 30</t>
  </si>
  <si>
    <t>минимальны объем партии,м3</t>
  </si>
  <si>
    <t>10 тн.</t>
  </si>
  <si>
    <t>Продукт</t>
  </si>
  <si>
    <t>Категория</t>
  </si>
  <si>
    <t>Размер</t>
  </si>
  <si>
    <t>Поддон</t>
  </si>
  <si>
    <t>Норма погрузки 90 куб.машина</t>
  </si>
  <si>
    <t>ширина</t>
  </si>
  <si>
    <t>длина</t>
  </si>
  <si>
    <t>толщина</t>
  </si>
  <si>
    <t>плит</t>
  </si>
  <si>
    <t>м3</t>
  </si>
  <si>
    <t>м2</t>
  </si>
  <si>
    <t>поддонов</t>
  </si>
  <si>
    <t>руб/м.куб.</t>
  </si>
  <si>
    <t>П-75</t>
  </si>
  <si>
    <r>
      <rPr>
        <b/>
        <sz val="7"/>
        <color indexed="8"/>
        <rFont val="Times New Roman"/>
        <family val="1"/>
        <charset val="204"/>
      </rPr>
      <t xml:space="preserve">  </t>
    </r>
    <r>
      <rPr>
        <b/>
        <sz val="11"/>
        <color indexed="8"/>
        <rFont val="Calibri"/>
        <family val="2"/>
        <charset val="204"/>
      </rPr>
      <t>П-75 </t>
    </r>
  </si>
  <si>
    <r>
      <rPr>
        <b/>
        <sz val="7"/>
        <color indexed="8"/>
        <rFont val="Times New Roman"/>
        <family val="1"/>
        <charset val="204"/>
      </rPr>
      <t xml:space="preserve">     </t>
    </r>
    <r>
      <rPr>
        <b/>
        <sz val="11"/>
        <color indexed="8"/>
        <rFont val="Calibri"/>
        <family val="2"/>
        <charset val="204"/>
      </rPr>
      <t xml:space="preserve">П-125 </t>
    </r>
  </si>
  <si>
    <r>
      <rPr>
        <b/>
        <sz val="7"/>
        <color indexed="8"/>
        <rFont val="Times New Roman"/>
        <family val="1"/>
        <charset val="204"/>
      </rPr>
      <t xml:space="preserve"> </t>
    </r>
    <r>
      <rPr>
        <b/>
        <sz val="11"/>
        <color indexed="8"/>
        <rFont val="Calibri"/>
        <family val="2"/>
        <charset val="204"/>
      </rPr>
      <t>П-125 </t>
    </r>
  </si>
  <si>
    <r>
      <rPr>
        <b/>
        <sz val="7"/>
        <color indexed="8"/>
        <rFont val="Times New Roman"/>
        <family val="1"/>
        <charset val="204"/>
      </rPr>
      <t xml:space="preserve">     </t>
    </r>
    <r>
      <rPr>
        <b/>
        <sz val="11"/>
        <color indexed="8"/>
        <rFont val="Calibri"/>
        <family val="2"/>
        <charset val="204"/>
      </rPr>
      <t xml:space="preserve">П-225 </t>
    </r>
  </si>
  <si>
    <t xml:space="preserve">П-225 </t>
  </si>
  <si>
    <t>1. Отгрузка целыми поддонами, упаковано плита на поддоне, отгрузка только еврофурами</t>
  </si>
  <si>
    <t>3.  Счет считается действительным к оплате в течении 3-х банковских дней.</t>
  </si>
  <si>
    <t>4. Возможно изготовление нестандартных размеров по согласованию с заказчиком.</t>
  </si>
  <si>
    <r>
      <t xml:space="preserve">4.       Тип продукта указывает на ориентировочный </t>
    </r>
    <r>
      <rPr>
        <u/>
        <sz val="10"/>
        <rFont val="Arial"/>
        <family val="2"/>
        <charset val="204"/>
      </rPr>
      <t>максимальный</t>
    </r>
    <r>
      <rPr>
        <sz val="10"/>
        <rFont val="Arial"/>
        <family val="2"/>
        <charset val="204"/>
      </rPr>
      <t xml:space="preserve"> срок поставки с момента размещения заказа.</t>
    </r>
  </si>
  <si>
    <t xml:space="preserve">Минимальный объем заказа, м3 </t>
  </si>
  <si>
    <t>компрес.</t>
  </si>
  <si>
    <t>термоус.</t>
  </si>
  <si>
    <r>
      <t xml:space="preserve">ТЕХНОЛАЙТ ЭКСТРА </t>
    </r>
    <r>
      <rPr>
        <sz val="14"/>
        <rFont val="Arial"/>
        <family val="2"/>
        <charset val="204"/>
      </rPr>
      <t>Ненагружаемые конструкции, каркасные конструкциии.</t>
    </r>
  </si>
  <si>
    <r>
      <rPr>
        <b/>
        <sz val="7"/>
        <color indexed="8"/>
        <rFont val="Times New Roman"/>
        <family val="1"/>
        <charset val="204"/>
      </rPr>
      <t xml:space="preserve"> </t>
    </r>
    <r>
      <rPr>
        <b/>
        <sz val="11"/>
        <color indexed="8"/>
        <rFont val="Calibri"/>
        <family val="2"/>
        <charset val="204"/>
      </rPr>
      <t>П-175 </t>
    </r>
  </si>
  <si>
    <t>термоусад</t>
  </si>
  <si>
    <t>компресс.</t>
  </si>
  <si>
    <t>КОД ЕКН</t>
  </si>
  <si>
    <t>012202</t>
  </si>
  <si>
    <t>036541</t>
  </si>
  <si>
    <t>037585</t>
  </si>
  <si>
    <t>210246</t>
  </si>
  <si>
    <t>028928</t>
  </si>
  <si>
    <t>210247</t>
  </si>
  <si>
    <t>210248</t>
  </si>
  <si>
    <t>210249</t>
  </si>
  <si>
    <t>210250</t>
  </si>
  <si>
    <t>073992</t>
  </si>
  <si>
    <t>012203</t>
  </si>
  <si>
    <t>015413</t>
  </si>
  <si>
    <t>020582</t>
  </si>
  <si>
    <t>018408</t>
  </si>
  <si>
    <t>034705</t>
  </si>
  <si>
    <t>013241</t>
  </si>
  <si>
    <t>013789</t>
  </si>
  <si>
    <t>020583</t>
  </si>
  <si>
    <t>020584</t>
  </si>
  <si>
    <t>053722</t>
  </si>
  <si>
    <t>013240</t>
  </si>
  <si>
    <t>022134</t>
  </si>
  <si>
    <t>036792</t>
  </si>
  <si>
    <t>023463</t>
  </si>
  <si>
    <t>210024</t>
  </si>
  <si>
    <t>210025</t>
  </si>
  <si>
    <t>210026</t>
  </si>
  <si>
    <t>210027</t>
  </si>
  <si>
    <t>304941</t>
  </si>
  <si>
    <t>012889</t>
  </si>
  <si>
    <t>031473</t>
  </si>
  <si>
    <t>021314</t>
  </si>
  <si>
    <t>021315</t>
  </si>
  <si>
    <t>026848</t>
  </si>
  <si>
    <t>012890</t>
  </si>
  <si>
    <t>210173</t>
  </si>
  <si>
    <t>035443</t>
  </si>
  <si>
    <t>031484</t>
  </si>
  <si>
    <t>033133</t>
  </si>
  <si>
    <t>210175</t>
  </si>
  <si>
    <t>210176</t>
  </si>
  <si>
    <t>210177</t>
  </si>
  <si>
    <t>210178</t>
  </si>
  <si>
    <t>210179</t>
  </si>
  <si>
    <t>код ЕКН</t>
  </si>
  <si>
    <t>012658</t>
  </si>
  <si>
    <t>012659</t>
  </si>
  <si>
    <t>012660</t>
  </si>
  <si>
    <t>016688</t>
  </si>
  <si>
    <t>012657</t>
  </si>
  <si>
    <t>039089</t>
  </si>
  <si>
    <t>012662</t>
  </si>
  <si>
    <t>023290</t>
  </si>
  <si>
    <t>014364</t>
  </si>
  <si>
    <t>210133</t>
  </si>
  <si>
    <t>210134</t>
  </si>
  <si>
    <t>210135</t>
  </si>
  <si>
    <t>210136</t>
  </si>
  <si>
    <t>090743</t>
  </si>
  <si>
    <t>038694</t>
  </si>
  <si>
    <t>032893</t>
  </si>
  <si>
    <t>342356</t>
  </si>
  <si>
    <t>210066</t>
  </si>
  <si>
    <t>032086</t>
  </si>
  <si>
    <t>034678</t>
  </si>
  <si>
    <t>032431</t>
  </si>
  <si>
    <t>032067</t>
  </si>
  <si>
    <t>025266</t>
  </si>
  <si>
    <t>025264</t>
  </si>
  <si>
    <t>025265</t>
  </si>
  <si>
    <t>031342</t>
  </si>
  <si>
    <t>031276</t>
  </si>
  <si>
    <t>032072</t>
  </si>
  <si>
    <t>210710</t>
  </si>
  <si>
    <t>210711</t>
  </si>
  <si>
    <t>013870</t>
  </si>
  <si>
    <t>020580</t>
  </si>
  <si>
    <t>020581</t>
  </si>
  <si>
    <t>020579</t>
  </si>
  <si>
    <t>210101</t>
  </si>
  <si>
    <t>013515</t>
  </si>
  <si>
    <t>210089</t>
  </si>
  <si>
    <t>210090</t>
  </si>
  <si>
    <t>210091</t>
  </si>
  <si>
    <t>210092</t>
  </si>
  <si>
    <t>210093</t>
  </si>
  <si>
    <t>210094</t>
  </si>
  <si>
    <t>210095</t>
  </si>
  <si>
    <t>210096</t>
  </si>
  <si>
    <t>компрес</t>
  </si>
  <si>
    <t>термоус</t>
  </si>
  <si>
    <t>028579</t>
  </si>
  <si>
    <t>028528</t>
  </si>
  <si>
    <t>012469</t>
  </si>
  <si>
    <t>028369</t>
  </si>
  <si>
    <t>029639</t>
  </si>
  <si>
    <t>078389</t>
  </si>
  <si>
    <t>025304</t>
  </si>
  <si>
    <t>028737</t>
  </si>
  <si>
    <t>031625</t>
  </si>
  <si>
    <t>012468</t>
  </si>
  <si>
    <t>037612</t>
  </si>
  <si>
    <t>210571</t>
  </si>
  <si>
    <t>013652</t>
  </si>
  <si>
    <t>011317</t>
  </si>
  <si>
    <t>022901</t>
  </si>
  <si>
    <t>012912</t>
  </si>
  <si>
    <t>013945</t>
  </si>
  <si>
    <t>014922</t>
  </si>
  <si>
    <t>326861</t>
  </si>
  <si>
    <t>033924</t>
  </si>
  <si>
    <t>031761</t>
  </si>
  <si>
    <t>033926</t>
  </si>
  <si>
    <t>033927</t>
  </si>
  <si>
    <t>032428</t>
  </si>
  <si>
    <t>033928</t>
  </si>
  <si>
    <t>032088</t>
  </si>
  <si>
    <t>031562</t>
  </si>
  <si>
    <t>033930</t>
  </si>
  <si>
    <t>033932</t>
  </si>
  <si>
    <t>210718</t>
  </si>
  <si>
    <t>033934</t>
  </si>
  <si>
    <t>032044</t>
  </si>
  <si>
    <t>033935</t>
  </si>
  <si>
    <t>033297</t>
  </si>
  <si>
    <t>033936</t>
  </si>
  <si>
    <t>033937</t>
  </si>
  <si>
    <t>033393</t>
  </si>
  <si>
    <t>033940</t>
  </si>
  <si>
    <t>033942</t>
  </si>
  <si>
    <t>033943</t>
  </si>
  <si>
    <t>033945</t>
  </si>
  <si>
    <t>031936</t>
  </si>
  <si>
    <t>031450</t>
  </si>
  <si>
    <t>033947</t>
  </si>
  <si>
    <t>323444</t>
  </si>
  <si>
    <t>033952</t>
  </si>
  <si>
    <t>011024</t>
  </si>
  <si>
    <t>012065</t>
  </si>
  <si>
    <t>010481</t>
  </si>
  <si>
    <t>010408</t>
  </si>
  <si>
    <t>012064</t>
  </si>
  <si>
    <t>021477</t>
  </si>
  <si>
    <t>033273</t>
  </si>
  <si>
    <t>030914</t>
  </si>
  <si>
    <t>014955</t>
  </si>
  <si>
    <t>010627</t>
  </si>
  <si>
    <t>010918</t>
  </si>
  <si>
    <t>С8</t>
  </si>
  <si>
    <t>А</t>
  </si>
  <si>
    <t>Б</t>
  </si>
  <si>
    <t>Б - отгрузка в течении 3 дней (заявки принимаются в любом количестве, кратно пачке).</t>
  </si>
  <si>
    <t>Категория "С" - это товары "под заказ", и сроки индивидуально оговариваются с клиентом, минимальная партия заказа составляет от 10 тн</t>
  </si>
  <si>
    <t>342478</t>
  </si>
  <si>
    <t>332209</t>
  </si>
  <si>
    <t>342475</t>
  </si>
  <si>
    <t>342476</t>
  </si>
  <si>
    <t>342477</t>
  </si>
  <si>
    <t>36561</t>
  </si>
  <si>
    <t>14150</t>
  </si>
  <si>
    <t>342463</t>
  </si>
  <si>
    <t>342464</t>
  </si>
  <si>
    <t>342472</t>
  </si>
  <si>
    <t>342465</t>
  </si>
  <si>
    <t>342466</t>
  </si>
  <si>
    <t>342467</t>
  </si>
  <si>
    <t>342468</t>
  </si>
  <si>
    <t>342469</t>
  </si>
  <si>
    <t>342470</t>
  </si>
  <si>
    <t>342471</t>
  </si>
  <si>
    <t>36476</t>
  </si>
  <si>
    <t>345526</t>
  </si>
  <si>
    <t>345527</t>
  </si>
  <si>
    <t>345528</t>
  </si>
  <si>
    <t>218308</t>
  </si>
  <si>
    <t>14923</t>
  </si>
  <si>
    <t>345521</t>
  </si>
  <si>
    <t>345522</t>
  </si>
  <si>
    <t>345523</t>
  </si>
  <si>
    <t>345524</t>
  </si>
  <si>
    <t>33925</t>
  </si>
  <si>
    <t>33929</t>
  </si>
  <si>
    <t>33931</t>
  </si>
  <si>
    <t>33938</t>
  </si>
  <si>
    <t>33939</t>
  </si>
  <si>
    <t>33941</t>
  </si>
  <si>
    <t>33944</t>
  </si>
  <si>
    <t>33946</t>
  </si>
  <si>
    <t>33951</t>
  </si>
  <si>
    <t>33950</t>
  </si>
  <si>
    <t>33949</t>
  </si>
  <si>
    <t>33948</t>
  </si>
  <si>
    <t>ЕКН</t>
  </si>
  <si>
    <t>ИЗОБОКС ВЕНТ</t>
  </si>
  <si>
    <t>ИЗОБОКС ИНСАЙД</t>
  </si>
  <si>
    <t>ИЗОБОКС ЛАЙТ</t>
  </si>
  <si>
    <t>ИЗОБОКС ФАСАД</t>
  </si>
  <si>
    <t>Завод ТЕХНО г.Рязань</t>
  </si>
  <si>
    <t>Центр ( ЦФО, Северо-Запад, ЮФО)</t>
  </si>
  <si>
    <t>цены действительны с</t>
  </si>
  <si>
    <t>ТИП</t>
  </si>
  <si>
    <t>Количество в упаковке</t>
  </si>
  <si>
    <t>Количество в поддоне</t>
  </si>
  <si>
    <r>
      <t xml:space="preserve">Норма загрузки в фуру, М </t>
    </r>
    <r>
      <rPr>
        <vertAlign val="superscript"/>
        <sz val="8"/>
        <rFont val="Arial"/>
        <family val="2"/>
        <charset val="204"/>
      </rPr>
      <t>3</t>
    </r>
  </si>
  <si>
    <r>
      <t>м</t>
    </r>
    <r>
      <rPr>
        <vertAlign val="superscript"/>
        <sz val="8"/>
        <rFont val="Arial"/>
        <family val="2"/>
        <charset val="204"/>
      </rPr>
      <t>3</t>
    </r>
  </si>
  <si>
    <r>
      <t>92 м</t>
    </r>
    <r>
      <rPr>
        <vertAlign val="superscript"/>
        <sz val="8"/>
        <rFont val="Arial"/>
        <family val="2"/>
        <charset val="204"/>
      </rPr>
      <t>3</t>
    </r>
  </si>
  <si>
    <r>
      <t>120 м</t>
    </r>
    <r>
      <rPr>
        <vertAlign val="superscript"/>
        <sz val="8"/>
        <rFont val="Arial"/>
        <family val="2"/>
        <charset val="204"/>
      </rPr>
      <t>3</t>
    </r>
  </si>
  <si>
    <r>
      <t>м</t>
    </r>
    <r>
      <rPr>
        <vertAlign val="superscript"/>
        <sz val="8"/>
        <rFont val="Arial"/>
        <family val="2"/>
        <charset val="204"/>
      </rPr>
      <t>2</t>
    </r>
  </si>
  <si>
    <t>с</t>
  </si>
  <si>
    <r>
      <rPr>
        <sz val="8"/>
        <color indexed="10"/>
        <rFont val="Arial"/>
        <family val="2"/>
        <charset val="204"/>
      </rPr>
      <t xml:space="preserve">Плотность  33 кг\куб.м. </t>
    </r>
    <r>
      <rPr>
        <sz val="8"/>
        <rFont val="Arial"/>
        <family val="2"/>
        <charset val="204"/>
      </rPr>
      <t xml:space="preserve">  </t>
    </r>
  </si>
  <si>
    <t>036915</t>
  </si>
  <si>
    <t>029072</t>
  </si>
  <si>
    <r>
      <rPr>
        <sz val="8"/>
        <color indexed="10"/>
        <rFont val="Arial"/>
        <family val="2"/>
        <charset val="204"/>
      </rPr>
      <t>Плотность - 38 кг\куб.м.</t>
    </r>
    <r>
      <rPr>
        <sz val="8"/>
        <rFont val="Arial"/>
        <family val="2"/>
        <charset val="204"/>
      </rPr>
      <t xml:space="preserve"> </t>
    </r>
  </si>
  <si>
    <t>036063</t>
  </si>
  <si>
    <t>031813</t>
  </si>
  <si>
    <t>035402</t>
  </si>
  <si>
    <r>
      <rPr>
        <sz val="8"/>
        <color indexed="10"/>
        <rFont val="Arial"/>
        <family val="2"/>
        <charset val="204"/>
      </rPr>
      <t xml:space="preserve">Плотность - 45 кг\куб.м. </t>
    </r>
    <r>
      <rPr>
        <sz val="8"/>
        <rFont val="Arial"/>
        <family val="2"/>
        <charset val="204"/>
      </rPr>
      <t xml:space="preserve">            </t>
    </r>
  </si>
  <si>
    <t>036587</t>
  </si>
  <si>
    <t>031100</t>
  </si>
  <si>
    <r>
      <rPr>
        <sz val="8"/>
        <color indexed="10"/>
        <rFont val="Arial"/>
        <family val="2"/>
        <charset val="204"/>
      </rPr>
      <t xml:space="preserve">Плотность - 80 кг\куб.м. </t>
    </r>
    <r>
      <rPr>
        <sz val="8"/>
        <rFont val="Arial"/>
        <family val="2"/>
        <charset val="204"/>
      </rPr>
      <t xml:space="preserve">        </t>
    </r>
  </si>
  <si>
    <t>032109</t>
  </si>
  <si>
    <t>032112</t>
  </si>
  <si>
    <t>032113</t>
  </si>
  <si>
    <t>039369</t>
  </si>
  <si>
    <t>067253</t>
  </si>
  <si>
    <t>328908</t>
  </si>
  <si>
    <t>032100</t>
  </si>
  <si>
    <r>
      <rPr>
        <sz val="8"/>
        <color indexed="10"/>
        <rFont val="Arial"/>
        <family val="2"/>
        <charset val="204"/>
      </rPr>
      <t xml:space="preserve">Плотность - 145 кг\куб.м. </t>
    </r>
    <r>
      <rPr>
        <sz val="8"/>
        <rFont val="Arial"/>
        <family val="2"/>
        <charset val="204"/>
      </rPr>
      <t xml:space="preserve">         </t>
    </r>
  </si>
  <si>
    <t>032101</t>
  </si>
  <si>
    <t>032105</t>
  </si>
  <si>
    <t>032099</t>
  </si>
  <si>
    <t>032108</t>
  </si>
  <si>
    <t>031856</t>
  </si>
  <si>
    <r>
      <t xml:space="preserve">ИЗОБОКС РУФ Н </t>
    </r>
    <r>
      <rPr>
        <b/>
        <sz val="8"/>
        <color indexed="10"/>
        <rFont val="Arial"/>
        <family val="2"/>
        <charset val="204"/>
      </rPr>
      <t>**</t>
    </r>
  </si>
  <si>
    <t>031275</t>
  </si>
  <si>
    <r>
      <rPr>
        <sz val="8"/>
        <color indexed="10"/>
        <rFont val="Arial"/>
        <family val="2"/>
        <charset val="204"/>
      </rPr>
      <t>Плотность -110 кг\куб.м.</t>
    </r>
    <r>
      <rPr>
        <sz val="8"/>
        <rFont val="Arial"/>
        <family val="2"/>
        <charset val="204"/>
      </rPr>
      <t xml:space="preserve">                </t>
    </r>
  </si>
  <si>
    <t>034788</t>
  </si>
  <si>
    <t>032114</t>
  </si>
  <si>
    <t>032330</t>
  </si>
  <si>
    <t>032449</t>
  </si>
  <si>
    <t>223908</t>
  </si>
  <si>
    <t>035481</t>
  </si>
  <si>
    <t>223909</t>
  </si>
  <si>
    <r>
      <t xml:space="preserve">ИЗОБОКС РУФ </t>
    </r>
    <r>
      <rPr>
        <b/>
        <sz val="8"/>
        <color indexed="10"/>
        <rFont val="Arial"/>
        <family val="2"/>
        <charset val="204"/>
      </rPr>
      <t>**</t>
    </r>
  </si>
  <si>
    <r>
      <rPr>
        <sz val="8"/>
        <color indexed="10"/>
        <rFont val="Arial"/>
        <family val="2"/>
        <charset val="204"/>
      </rPr>
      <t>Плотность - 140 кг\куб.м.</t>
    </r>
    <r>
      <rPr>
        <sz val="8"/>
        <rFont val="Arial"/>
        <family val="2"/>
        <charset val="204"/>
      </rPr>
      <t xml:space="preserve">              </t>
    </r>
  </si>
  <si>
    <t>032313</t>
  </si>
  <si>
    <r>
      <t xml:space="preserve">ИЗОБОКС РУФ В </t>
    </r>
    <r>
      <rPr>
        <b/>
        <sz val="8"/>
        <color indexed="10"/>
        <rFont val="Arial"/>
        <family val="2"/>
        <charset val="204"/>
      </rPr>
      <t>**</t>
    </r>
  </si>
  <si>
    <r>
      <rPr>
        <sz val="8"/>
        <color indexed="10"/>
        <rFont val="Arial"/>
        <family val="2"/>
        <charset val="204"/>
      </rPr>
      <t>Плотность - 180 кг\куб.м.</t>
    </r>
    <r>
      <rPr>
        <sz val="8"/>
        <rFont val="Arial"/>
        <family val="2"/>
        <charset val="204"/>
      </rPr>
      <t xml:space="preserve">              </t>
    </r>
  </si>
  <si>
    <t>032115</t>
  </si>
  <si>
    <t>032133</t>
  </si>
  <si>
    <t>C</t>
  </si>
  <si>
    <t>Цена с НДС (ExW), руб.</t>
  </si>
  <si>
    <t>Цена с НДС (ExW)</t>
  </si>
  <si>
    <t>1.       Цена указана без учета стоимости доставки.</t>
  </si>
  <si>
    <t>2.  Цена указана без учета стоимости доставки.</t>
  </si>
  <si>
    <t>1.       Цена указана без учета стоимости доставки.</t>
  </si>
  <si>
    <t>ДоговорКонтрагента.Владелец.Территориальная принадлежность.Регион продаж компании</t>
  </si>
  <si>
    <t>г. Москва</t>
  </si>
  <si>
    <t>Московская область</t>
  </si>
  <si>
    <t>Архангельская область</t>
  </si>
  <si>
    <t>г. Санкт-Петербург</t>
  </si>
  <si>
    <t>Калиниградская область</t>
  </si>
  <si>
    <t>Ленинградская область</t>
  </si>
  <si>
    <t>Республика Карелия</t>
  </si>
  <si>
    <t>Республика Коми - Сыктывкар</t>
  </si>
  <si>
    <t>Мурманская область</t>
  </si>
  <si>
    <t>Псковская область</t>
  </si>
  <si>
    <t>Новгородская область</t>
  </si>
  <si>
    <t>Белгородская область</t>
  </si>
  <si>
    <t>Брянская область</t>
  </si>
  <si>
    <t>Владимирская область</t>
  </si>
  <si>
    <t>Воронежская область</t>
  </si>
  <si>
    <t>Калужская область</t>
  </si>
  <si>
    <t>Курская область</t>
  </si>
  <si>
    <t>Липецкая область</t>
  </si>
  <si>
    <t>Орловская область</t>
  </si>
  <si>
    <t>Рязанская область</t>
  </si>
  <si>
    <t>Смоленская область</t>
  </si>
  <si>
    <t>Тверская область</t>
  </si>
  <si>
    <t>Тульская область</t>
  </si>
  <si>
    <t>Ярославская область</t>
  </si>
  <si>
    <t>Ростовская область</t>
  </si>
  <si>
    <t>Ставропольский край</t>
  </si>
  <si>
    <t>Республика Адыгея</t>
  </si>
  <si>
    <t>Республика Ингушетия</t>
  </si>
  <si>
    <t>Кабардино-Балкарская республика</t>
  </si>
  <si>
    <t>Карачаево-Черкесская республика</t>
  </si>
  <si>
    <t>Республика Северная Осетия-Алания</t>
  </si>
  <si>
    <t>Чеченская республика</t>
  </si>
  <si>
    <t>Продукция</t>
  </si>
  <si>
    <t>Место доставки</t>
  </si>
  <si>
    <t>Стоимость продукции, руб/м3</t>
  </si>
  <si>
    <t>Стоимость доставки, руб/м3</t>
  </si>
  <si>
    <t>Стоимость продукция + доставка, руб/м3</t>
  </si>
  <si>
    <t xml:space="preserve">П-125 </t>
  </si>
  <si>
    <t>П-175 </t>
  </si>
  <si>
    <t>Материал</t>
  </si>
  <si>
    <t>%</t>
  </si>
  <si>
    <t>завод</t>
  </si>
  <si>
    <t>регион</t>
  </si>
  <si>
    <t>Рязань</t>
  </si>
  <si>
    <t>г. Сочи, Адлер</t>
  </si>
  <si>
    <t>Республика Калмыкия</t>
  </si>
  <si>
    <t>Московская</t>
  </si>
  <si>
    <t>Калужская, Рязанская</t>
  </si>
  <si>
    <t>Тульская, Тверская</t>
  </si>
  <si>
    <t>Владимирская, Ивановская</t>
  </si>
  <si>
    <t>Воронежская, Тамбовская, Липецкая, Орловская, Курская, Белгородская</t>
  </si>
  <si>
    <t>Брянская</t>
  </si>
  <si>
    <t>Смоленская</t>
  </si>
  <si>
    <t>Ярославская, Костромская</t>
  </si>
  <si>
    <t>Вологодская</t>
  </si>
  <si>
    <t>Самарская область</t>
  </si>
  <si>
    <r>
      <t xml:space="preserve">Арахангельская, Ленинградская, Псковская. Новгородская, Мурманская, </t>
    </r>
    <r>
      <rPr>
        <sz val="10"/>
        <color indexed="10"/>
        <rFont val="Arial Cyr"/>
        <charset val="204"/>
      </rPr>
      <t>Калининградская области, Республика Карелия</t>
    </r>
  </si>
  <si>
    <t>Ханты-Мансийский АО</t>
  </si>
  <si>
    <t>Республика Башкортостан</t>
  </si>
  <si>
    <t>Республика Беларусь</t>
  </si>
  <si>
    <t xml:space="preserve">Регион </t>
  </si>
  <si>
    <t>номер региона</t>
  </si>
  <si>
    <t>A</t>
  </si>
  <si>
    <t>B</t>
  </si>
  <si>
    <t>Вип-2</t>
  </si>
  <si>
    <t>Розница</t>
  </si>
  <si>
    <t>Скидка</t>
  </si>
  <si>
    <t>Базовая</t>
  </si>
  <si>
    <t>Региональная</t>
  </si>
  <si>
    <t>Дилер</t>
  </si>
  <si>
    <t>ВИП</t>
  </si>
  <si>
    <t>нет</t>
  </si>
  <si>
    <t>Костромская область</t>
  </si>
  <si>
    <t>Тамбовская область</t>
  </si>
  <si>
    <t>Краснодарский край</t>
  </si>
  <si>
    <t>Цена с НДС (DDP), руб.</t>
  </si>
  <si>
    <t>Цена с НДС (DDP)</t>
  </si>
  <si>
    <t>1.       Цена указана на условиях DDP.</t>
  </si>
  <si>
    <t>2. Цена указана на условиях DDP.</t>
  </si>
  <si>
    <t>общестроительная</t>
  </si>
  <si>
    <t>фасады</t>
  </si>
  <si>
    <t>плоская кровля</t>
  </si>
  <si>
    <t>Isobox легкая</t>
  </si>
  <si>
    <t>Isobox фасад</t>
  </si>
  <si>
    <t>Isobox кровля</t>
  </si>
  <si>
    <r>
      <t xml:space="preserve">ТЕХНОСЭНДВИЧ С           </t>
    </r>
    <r>
      <rPr>
        <sz val="14"/>
        <rFont val="Arial"/>
        <family val="2"/>
        <charset val="204"/>
      </rPr>
      <t>Стеновые сэндвич-панели</t>
    </r>
  </si>
  <si>
    <r>
      <t xml:space="preserve">ТЕХНОСЭНДВИЧ К </t>
    </r>
    <r>
      <rPr>
        <sz val="14"/>
        <rFont val="Arial"/>
        <family val="2"/>
        <charset val="204"/>
      </rPr>
      <t>Кровельные сэндвич-панели</t>
    </r>
  </si>
  <si>
    <t>Ивановская область</t>
  </si>
  <si>
    <t>комп</t>
  </si>
  <si>
    <t>москва</t>
  </si>
  <si>
    <t>03.03.2011г.</t>
  </si>
  <si>
    <t>Краснодар</t>
  </si>
  <si>
    <t>2.       Счет считается действительным к оплате в течение 3-х банковских дней.</t>
  </si>
  <si>
    <t>3.  Счет считается действительным к оплате в течение 3-х банковских дней.</t>
  </si>
  <si>
    <t xml:space="preserve">Волгоградская область </t>
  </si>
  <si>
    <t>Астраханская область</t>
  </si>
  <si>
    <t>332797</t>
  </si>
  <si>
    <t>Республика Дагестан</t>
  </si>
  <si>
    <t>033933</t>
  </si>
  <si>
    <t>011367</t>
  </si>
  <si>
    <t>ТЕХНОАКУСТИК</t>
  </si>
  <si>
    <t>376358</t>
  </si>
  <si>
    <t>376359</t>
  </si>
  <si>
    <t>Кировская область</t>
  </si>
  <si>
    <t>Нижегородская область</t>
  </si>
  <si>
    <t>Пензенская область</t>
  </si>
  <si>
    <t>Республика Марий Эл</t>
  </si>
  <si>
    <t>Республика Мордовия</t>
  </si>
  <si>
    <t>Саратовская область</t>
  </si>
  <si>
    <t>Ульяновская область</t>
  </si>
  <si>
    <t>сделай сам</t>
  </si>
  <si>
    <t>А - отгрузка в течение 24 часов (заявки принимаются кратно паллетам и пачкам согласно инф.письму от 02.12.2011г).</t>
  </si>
  <si>
    <t>Б - отгрузка в течение 3 дней (заявки принимаются кратно паллетам и пачкам согласно инф.письму от 02.12.2011г).</t>
  </si>
  <si>
    <t>Мурманская</t>
  </si>
  <si>
    <t>368218</t>
  </si>
  <si>
    <t>368223</t>
  </si>
  <si>
    <t>401615</t>
  </si>
  <si>
    <t>компр</t>
  </si>
  <si>
    <t>368226</t>
  </si>
  <si>
    <t>Белгородская, Воронежская, Курская</t>
  </si>
  <si>
    <t>Россия</t>
  </si>
  <si>
    <t>ТЕХНОФЛОР ГРУНТ</t>
  </si>
  <si>
    <t>Плотность 90кг/куб.м.</t>
  </si>
  <si>
    <t>ТЕХНОФЛОР СТАНДАРТ</t>
  </si>
  <si>
    <t>Плотность 110кг/куб.м.</t>
  </si>
  <si>
    <t>ТЕХНОФЛОР ПРОФ</t>
  </si>
  <si>
    <t>Плотность 170кг/куб.м.</t>
  </si>
  <si>
    <t>393434</t>
  </si>
  <si>
    <t>ТЕХНОФАС ЭФФЕКТ</t>
  </si>
  <si>
    <t>414842</t>
  </si>
  <si>
    <t>414844</t>
  </si>
  <si>
    <t>414846</t>
  </si>
  <si>
    <t>414849</t>
  </si>
  <si>
    <t>414810</t>
  </si>
  <si>
    <t>414850</t>
  </si>
  <si>
    <t>414852</t>
  </si>
  <si>
    <t>414856</t>
  </si>
  <si>
    <t>414857</t>
  </si>
  <si>
    <t>414862</t>
  </si>
  <si>
    <t>416247</t>
  </si>
  <si>
    <t>ТЕХНОФАС ЭКСТРА</t>
  </si>
  <si>
    <t>416625</t>
  </si>
  <si>
    <t>416626</t>
  </si>
  <si>
    <t>416627</t>
  </si>
  <si>
    <t>416628</t>
  </si>
  <si>
    <t>416629</t>
  </si>
  <si>
    <t>416630</t>
  </si>
  <si>
    <t>416631</t>
  </si>
  <si>
    <t>416632</t>
  </si>
  <si>
    <t>416633</t>
  </si>
  <si>
    <t>416634</t>
  </si>
  <si>
    <t xml:space="preserve">Вологодская область </t>
  </si>
  <si>
    <t>Курганская область</t>
  </si>
  <si>
    <t>Оренбургская область</t>
  </si>
  <si>
    <t>Пермская область</t>
  </si>
  <si>
    <t>Республика Башкортостан: ЗОНА 0</t>
  </si>
  <si>
    <t>Республика Башкортостан: ЗОНА 1</t>
  </si>
  <si>
    <t>Республика Башкортостан: ЗОНА 2</t>
  </si>
  <si>
    <t>Республика Татарстан: ЗОНА 0</t>
  </si>
  <si>
    <t>Республика Татарстан: остальные районы</t>
  </si>
  <si>
    <t>Свердловская область</t>
  </si>
  <si>
    <t>Тюменская область</t>
  </si>
  <si>
    <t>Удмуртская республика</t>
  </si>
  <si>
    <t>Челябинская область</t>
  </si>
  <si>
    <t>Чувашская республика</t>
  </si>
  <si>
    <t>Ямало-Ненецкий АО (Салехард)</t>
  </si>
  <si>
    <t>СЕВЕРО-ЗАПАД</t>
  </si>
  <si>
    <t>Калининградская область</t>
  </si>
  <si>
    <t>ЦЕНТР</t>
  </si>
  <si>
    <t>ЮГ</t>
  </si>
  <si>
    <t>г.Сочи, Адлер</t>
  </si>
  <si>
    <t>ПОВОЛЖЬЕ</t>
  </si>
  <si>
    <t>Рулонная изоляция</t>
  </si>
  <si>
    <t>УРАЛ</t>
  </si>
  <si>
    <t>Пермский край</t>
  </si>
  <si>
    <t>Удмуртская область</t>
  </si>
  <si>
    <t>С-З</t>
  </si>
  <si>
    <t>Центр</t>
  </si>
  <si>
    <t>Юг</t>
  </si>
  <si>
    <t>Поволжье</t>
  </si>
  <si>
    <t>Урал</t>
  </si>
  <si>
    <t>Коми-Пермяцкий АО (Кудымкар)</t>
  </si>
  <si>
    <t>-</t>
  </si>
  <si>
    <t>Завод 'ТЕХНО' г.Рязань</t>
  </si>
  <si>
    <t>Завод 'ТЕХНО' г.Заинск</t>
  </si>
  <si>
    <t>Зона 0: Туймазинский район (г.Октябрьский, г.Туймазы, Серафимовский, Нижнетроицкий, Кандры, Сайраново, Субханкулово, Тюменяк)</t>
  </si>
  <si>
    <t xml:space="preserve">остальные районы, кроме ЗОНЫ 0 </t>
  </si>
  <si>
    <t>Регион Поволжье ( Поволжский, Уральски, Южный ФО)</t>
  </si>
  <si>
    <t>8 июня 2011г</t>
  </si>
  <si>
    <t>Завод ТЕХНО г.Заинск</t>
  </si>
  <si>
    <t>Количество в рулоне</t>
  </si>
  <si>
    <r>
      <t>Норма загрузки в фуру, объемом 92м</t>
    </r>
    <r>
      <rPr>
        <b/>
        <vertAlign val="superscript"/>
        <sz val="14"/>
        <rFont val="Arial"/>
        <family val="2"/>
        <charset val="204"/>
      </rPr>
      <t>3</t>
    </r>
  </si>
  <si>
    <t>куб.м.</t>
  </si>
  <si>
    <t>кол-во рулонов</t>
  </si>
  <si>
    <t>МАТ ТЕПЛОРОЛЛ</t>
  </si>
  <si>
    <t>А - отгрузка в течение 24 часов (заявки принимаются в любом количестве, кратно пачке).</t>
  </si>
  <si>
    <t>Б - отгрузка в течение 3 дней (заявки принимаются в любом количестве, кратно пачке).</t>
  </si>
  <si>
    <t>С - отгрузка в течение 10 дней (заявки принимаются в объеме не менее 10 тонн, кратно поддону)</t>
  </si>
  <si>
    <t>368281</t>
  </si>
  <si>
    <t>Рулонка</t>
  </si>
  <si>
    <t>Республика Коми</t>
  </si>
  <si>
    <t>НАО</t>
  </si>
  <si>
    <t xml:space="preserve">ИЗОБОКС ЭКСТРАЛАЙТ </t>
  </si>
  <si>
    <t>Оренбургская</t>
  </si>
  <si>
    <t>Кировская область, Республика Мордовия, Нижегородская</t>
  </si>
  <si>
    <t>Татарстан</t>
  </si>
  <si>
    <t>Марий Эл, Чувашия</t>
  </si>
  <si>
    <t>Рязанская</t>
  </si>
  <si>
    <t>Брянская, Орловская, Смоленская, Тамбовская</t>
  </si>
  <si>
    <t>Липецкая</t>
  </si>
  <si>
    <t>021317</t>
  </si>
  <si>
    <t>Вип-3</t>
  </si>
  <si>
    <t>Вип-4</t>
  </si>
  <si>
    <t>Категория "С" - это товары "под заказ", и сроки индивидуально оговариваются с клиентом (заявки принимаются в объеме не менее 10 тонн, кратно поддону)</t>
  </si>
  <si>
    <t>Регион</t>
  </si>
  <si>
    <t>Рулонная Изоляция</t>
  </si>
  <si>
    <t>Компрессия</t>
  </si>
  <si>
    <t>Термоусадка 1</t>
  </si>
  <si>
    <t>Термоусадка 2</t>
  </si>
  <si>
    <t>*Примечение:</t>
  </si>
  <si>
    <r>
      <rPr>
        <b/>
        <i/>
        <u/>
        <sz val="11"/>
        <color indexed="8"/>
        <rFont val="Calibri"/>
        <family val="2"/>
        <charset val="204"/>
      </rPr>
      <t>рулонная изоляция:</t>
    </r>
    <r>
      <rPr>
        <b/>
        <sz val="11"/>
        <color indexed="8"/>
        <rFont val="Calibri"/>
        <family val="2"/>
        <charset val="204"/>
      </rPr>
      <t xml:space="preserve"> мат Теплоролл</t>
    </r>
  </si>
  <si>
    <r>
      <rPr>
        <b/>
        <i/>
        <u/>
        <sz val="11"/>
        <rFont val="Calibri"/>
        <family val="2"/>
        <charset val="204"/>
      </rPr>
      <t>термоусадка 1:</t>
    </r>
    <r>
      <rPr>
        <b/>
        <sz val="11"/>
        <rFont val="Calibri"/>
        <family val="2"/>
        <charset val="204"/>
      </rPr>
      <t xml:space="preserve"> ТБС, Твент, Тфас, Тфас Эффект, Тфас Экстра, Труф, Технофлор и пр.</t>
    </r>
  </si>
  <si>
    <t>ТБС 8пл-терм. (50мм ЕКН 368218)</t>
  </si>
  <si>
    <t>ТЛО, ТехноАкустик</t>
  </si>
  <si>
    <r>
      <t xml:space="preserve">Республика Башкортостан </t>
    </r>
    <r>
      <rPr>
        <b/>
        <sz val="11"/>
        <color indexed="17"/>
        <rFont val="Arial"/>
        <family val="2"/>
        <charset val="204"/>
      </rPr>
      <t>ЗОНА 0</t>
    </r>
    <r>
      <rPr>
        <b/>
        <sz val="8"/>
        <rFont val="Arial"/>
        <family val="2"/>
        <charset val="204"/>
      </rPr>
      <t>:  Туймазинский район (г.Октябрьский, г.Туймазы, Серафимовский, Нижнетроицкий, Кандры, Сайраново, Субханкулово, Тюменяк)</t>
    </r>
  </si>
  <si>
    <r>
      <t>Республика Башкортостан</t>
    </r>
    <r>
      <rPr>
        <b/>
        <sz val="8"/>
        <color indexed="17"/>
        <rFont val="Arial"/>
        <family val="2"/>
        <charset val="204"/>
      </rPr>
      <t xml:space="preserve"> </t>
    </r>
    <r>
      <rPr>
        <b/>
        <sz val="11"/>
        <color indexed="17"/>
        <rFont val="Arial"/>
        <family val="2"/>
        <charset val="204"/>
      </rPr>
      <t>ЗОНА 1</t>
    </r>
    <r>
      <rPr>
        <b/>
        <sz val="8"/>
        <color indexed="8"/>
        <rFont val="Arial"/>
        <family val="2"/>
        <charset val="204"/>
      </rPr>
      <t>: Альшеевский район, Аургазинский район, Белебеевский район, Бирский район, Буздякский район,  Бакалинский район, Бураевский район, Благовраский район, Бижбулякский район, Благовещенский район, Давлекановский район, Дюртюлинский район, Ермекеевский район, Иглинский район, Илишевский район, Ишимбайский район (только  г.Ишимбай), Кармаскалинский район, Калтасинский район, Краснокамский район, Кушаренковский район, Миякинский район, Мишкинский район, Стерлитамакский район,  Уфимский район, Чишминский район, Шаранский район, Янаульский район</t>
    </r>
  </si>
  <si>
    <r>
      <t>Республика Башкортостан</t>
    </r>
    <r>
      <rPr>
        <b/>
        <sz val="8"/>
        <rFont val="Arial"/>
        <family val="2"/>
        <charset val="204"/>
      </rPr>
      <t xml:space="preserve"> </t>
    </r>
    <r>
      <rPr>
        <b/>
        <sz val="12"/>
        <color indexed="17"/>
        <rFont val="Arial"/>
        <family val="2"/>
        <charset val="204"/>
      </rPr>
      <t>ЗОНА 2</t>
    </r>
    <r>
      <rPr>
        <b/>
        <sz val="8"/>
        <color indexed="8"/>
        <rFont val="Arial"/>
        <family val="2"/>
        <charset val="204"/>
      </rPr>
      <t>: Абзелиловский р-н, Архангельский р-н, Аскинский р-н, Баймакский р-н, Белокатайский р-н, Болтачевский р-н, Белорецкий район (г. Белорецк), Бурзянксий р-н, Гафурийский р-н, Дуванский р-н, Зианчуринский р-н, Зилаирский р-н, Ишимбайский (кроме г. Ишимбай), Караидельский р-н,  Кигинский р-н,  Кугарчинский рн-, Куюргазинский район, Мелеузовский район, Мечетлинский р-н, Нуримановский р-н, Салаватский р-н, Стерлибашевский р-н, Татышлинский р-н, Учалинский район, Федоровский р-н, Хайбулинский р-н</t>
    </r>
  </si>
  <si>
    <r>
      <t>Республика Татарста</t>
    </r>
    <r>
      <rPr>
        <b/>
        <sz val="8"/>
        <rFont val="Arial"/>
        <family val="2"/>
        <charset val="204"/>
      </rPr>
      <t xml:space="preserve">н </t>
    </r>
    <r>
      <rPr>
        <b/>
        <sz val="11"/>
        <color indexed="17"/>
        <rFont val="Arial"/>
        <family val="2"/>
        <charset val="204"/>
      </rPr>
      <t>ЗОНА 0</t>
    </r>
    <r>
      <rPr>
        <b/>
        <sz val="8"/>
        <rFont val="Arial"/>
        <family val="2"/>
        <charset val="204"/>
      </rPr>
      <t xml:space="preserve">: Альметьевский район (г. Альметьевск), Елабужский район (г.Елабуга), Заинский район (г.Заинск), </t>
    </r>
    <r>
      <rPr>
        <b/>
        <sz val="8"/>
        <color indexed="8"/>
        <rFont val="Arial"/>
        <family val="2"/>
        <charset val="204"/>
      </rPr>
      <t>Тукаевский район (г.Набережные Челны), Нижнекамский район (г.Нижнекамск)</t>
    </r>
    <r>
      <rPr>
        <b/>
        <u/>
        <sz val="8"/>
        <color indexed="8"/>
        <rFont val="Arial"/>
        <family val="2"/>
        <charset val="204"/>
      </rPr>
      <t/>
    </r>
  </si>
  <si>
    <r>
      <t xml:space="preserve">Республика Татарстан : </t>
    </r>
    <r>
      <rPr>
        <b/>
        <u/>
        <sz val="8"/>
        <color indexed="8"/>
        <rFont val="Arial"/>
        <family val="2"/>
        <charset val="204"/>
      </rPr>
      <t xml:space="preserve">остальные районы, кроме ЗОНЫ 0 </t>
    </r>
  </si>
  <si>
    <t>421230</t>
  </si>
  <si>
    <t>421236</t>
  </si>
  <si>
    <t>419987</t>
  </si>
  <si>
    <t>421237</t>
  </si>
  <si>
    <t>421238</t>
  </si>
  <si>
    <t>Ханты-Мансийский АО, Ямало-Ненецкий АО</t>
  </si>
  <si>
    <t>Тюменская</t>
  </si>
  <si>
    <t>минимальный объем партии,м3</t>
  </si>
  <si>
    <t>Техновент</t>
  </si>
  <si>
    <t>Технофас</t>
  </si>
  <si>
    <t>Isobox вент</t>
  </si>
  <si>
    <t>Курганская</t>
  </si>
  <si>
    <t>ТЛЭ / ИзЛ</t>
  </si>
  <si>
    <t>Термоусадка (72м3), Заинск 72</t>
  </si>
  <si>
    <t>Р.Дагестан</t>
  </si>
  <si>
    <t xml:space="preserve">КБР, КЧР,Респ. Ингушетия, Респ.Северная Осетия, Чеченская Респ. </t>
  </si>
  <si>
    <t>Алтайский край</t>
  </si>
  <si>
    <t>Забайкальский край</t>
  </si>
  <si>
    <t>Иркутская область</t>
  </si>
  <si>
    <t>Кемеровская область</t>
  </si>
  <si>
    <t>Красноярский край</t>
  </si>
  <si>
    <t>Новосибирская область</t>
  </si>
  <si>
    <t>Омская область</t>
  </si>
  <si>
    <t>Республика Алтай</t>
  </si>
  <si>
    <t>Республика Бурятия</t>
  </si>
  <si>
    <t>Республика Тыва</t>
  </si>
  <si>
    <t>Республика Хакасия</t>
  </si>
  <si>
    <t>Томская область</t>
  </si>
  <si>
    <t>Усть-Ордынский Бурятский АО</t>
  </si>
  <si>
    <t>Комрессия (114м3) РЛ мульти</t>
  </si>
  <si>
    <t>Термоусадка (76м3) РЛ ТУ, ТЛЭ, ТЛО, Акустик</t>
  </si>
  <si>
    <t>Завод 'ТЕХНО' г.Юрга</t>
  </si>
  <si>
    <t>СИБИРЬ</t>
  </si>
  <si>
    <t>Сибирь</t>
  </si>
  <si>
    <t>355004</t>
  </si>
  <si>
    <t>407185</t>
  </si>
  <si>
    <t>405663</t>
  </si>
  <si>
    <t>Категория "С" - это товары "под заказ", и сроки индивидуально оговариваются с клиентом (заявки принимаются в объеме не менее 5,5 тонн, кратно поддону)</t>
  </si>
  <si>
    <r>
      <rPr>
        <b/>
        <i/>
        <u/>
        <sz val="11"/>
        <rFont val="Calibri"/>
        <family val="2"/>
        <charset val="204"/>
      </rPr>
      <t>компрессия:</t>
    </r>
    <r>
      <rPr>
        <b/>
        <sz val="11"/>
        <rFont val="Calibri"/>
        <family val="2"/>
        <charset val="204"/>
      </rPr>
      <t xml:space="preserve">      РЛ / ИзЭл компрессия (мультипак)</t>
    </r>
  </si>
  <si>
    <r>
      <rPr>
        <b/>
        <i/>
        <u/>
        <sz val="11"/>
        <rFont val="Calibri"/>
        <family val="2"/>
        <charset val="204"/>
      </rPr>
      <t>термоусадка 2:</t>
    </r>
    <r>
      <rPr>
        <b/>
        <i/>
        <sz val="11"/>
        <rFont val="Calibri"/>
        <family val="2"/>
        <charset val="204"/>
      </rPr>
      <t xml:space="preserve">         </t>
    </r>
    <r>
      <rPr>
        <b/>
        <sz val="11"/>
        <rFont val="Calibri"/>
        <family val="2"/>
        <charset val="204"/>
      </rPr>
      <t>РЛ / ИзЭл термоусадка</t>
    </r>
  </si>
  <si>
    <t>ТБС 4пл-терм. (100мм ЕКН 368223)</t>
  </si>
  <si>
    <t>с 25.06.2013г</t>
  </si>
  <si>
    <t xml:space="preserve">10.07.2013г      </t>
  </si>
  <si>
    <t>Регион Центр (Вся территория присутсвия ТН)</t>
  </si>
  <si>
    <t>Количество на поддоне,</t>
  </si>
  <si>
    <t>шт,</t>
  </si>
  <si>
    <t>штука</t>
  </si>
  <si>
    <t xml:space="preserve">ТЕХНОРУФ Н30 КЛИН (1,7%, Элемент А) </t>
  </si>
  <si>
    <t xml:space="preserve">ТЕХНОРУФ Н30 КЛИН (1,7%, Элемент Б) </t>
  </si>
  <si>
    <t xml:space="preserve">ТЕХНОРУФ Н30 КЛИН (1,7%, Элемент С) </t>
  </si>
  <si>
    <t xml:space="preserve">ТЕХНОРУФ Н30 КЛИН (4,2%, Элемент А) </t>
  </si>
  <si>
    <t xml:space="preserve">ТЕХНОРУФ Н30 КЛИН (4,2%, Элемент Б) </t>
  </si>
  <si>
    <t xml:space="preserve">ТЕХНОРУФ Н30 КЛИН (4,2%, Элемент С) </t>
  </si>
  <si>
    <t xml:space="preserve">ТЕХНОРУФ 45 ГАЛТЕЛЬ </t>
  </si>
  <si>
    <t>АКСИ ЛАЙТ</t>
  </si>
  <si>
    <t>433398</t>
  </si>
  <si>
    <t>433405</t>
  </si>
  <si>
    <t>433408</t>
  </si>
  <si>
    <t>433410</t>
  </si>
  <si>
    <t>433412</t>
  </si>
  <si>
    <t>433417</t>
  </si>
  <si>
    <t>433418</t>
  </si>
  <si>
    <t>433425</t>
  </si>
  <si>
    <t>433430</t>
  </si>
  <si>
    <t>433434</t>
  </si>
  <si>
    <t>433435</t>
  </si>
  <si>
    <t>АКСИ СТАНДАРТ</t>
  </si>
  <si>
    <t>433439</t>
  </si>
  <si>
    <t>433440</t>
  </si>
  <si>
    <t>433441</t>
  </si>
  <si>
    <t>433442</t>
  </si>
  <si>
    <t>433443</t>
  </si>
  <si>
    <t>433444</t>
  </si>
  <si>
    <t>433445</t>
  </si>
  <si>
    <t>433446</t>
  </si>
  <si>
    <t>433447</t>
  </si>
  <si>
    <t>433448</t>
  </si>
  <si>
    <t>433449</t>
  </si>
  <si>
    <t>АКСИ ПРОФ</t>
  </si>
  <si>
    <t>АКСИ ПРОФ+</t>
  </si>
  <si>
    <t>общестроительная АКСИ</t>
  </si>
  <si>
    <t>фасады АКСИ</t>
  </si>
  <si>
    <t>433460</t>
  </si>
  <si>
    <t>433461</t>
  </si>
  <si>
    <t>433462</t>
  </si>
  <si>
    <t>433463</t>
  </si>
  <si>
    <t>433464</t>
  </si>
  <si>
    <t>433468</t>
  </si>
  <si>
    <t>433477</t>
  </si>
  <si>
    <t>433480</t>
  </si>
  <si>
    <t>433481</t>
  </si>
  <si>
    <t>433482</t>
  </si>
  <si>
    <t>433492</t>
  </si>
  <si>
    <t>433493</t>
  </si>
  <si>
    <t>433494</t>
  </si>
  <si>
    <t>433496</t>
  </si>
  <si>
    <t>433650</t>
  </si>
  <si>
    <t>433651</t>
  </si>
  <si>
    <t>433652</t>
  </si>
  <si>
    <t>433653</t>
  </si>
  <si>
    <t>433654</t>
  </si>
  <si>
    <t>433655</t>
  </si>
  <si>
    <t>433656</t>
  </si>
  <si>
    <t>433478</t>
  </si>
  <si>
    <t>Красноярский край, Республика Хакасия</t>
  </si>
  <si>
    <t>Ленинградская</t>
  </si>
  <si>
    <t>Алтайский край: ЗОНА 1</t>
  </si>
  <si>
    <t>Алтайский край: ЗОНА 2</t>
  </si>
  <si>
    <t>Кемеровская область: ЗОНА1</t>
  </si>
  <si>
    <t>Кемеровская область: ЗОНА2</t>
  </si>
  <si>
    <t>Красноярский край: ЗОНА 1</t>
  </si>
  <si>
    <t>Красноярский край: ЗОНА 2</t>
  </si>
  <si>
    <t>Красноярский край: ЗОНА 3</t>
  </si>
  <si>
    <t xml:space="preserve">Зона 1: Алейск (в т.ч.Алейский р-н), Барнаул (в т.ч.Барнаульский р-н), Бийск (в т.ч. Бийский р-н), Ельцовский р-н, Залесовский р-н, Заринская (в т.ч. Заринский р-н, Калманский р-н, Камень-на-Оби(в т.ч. Каменский р-н), Косихинский р-н, Крутихинский р-н, Кытмановский р-н, Новоалтайск (в т.ч. Новоалтайский р-н), Павловский р-н, Панкрушихинский р-н, Ребрихинский р-н, Смоленский р-н (в т.ч. Белокуриха), Советский р-н, Тальменский р-н, Тогульский р-н, Топчихинский р-н, Троицкий р-н, Тюменцевский р-н, Шелаболихинский р-н </t>
  </si>
  <si>
    <t>Зона 2: все районы, кроме ЗОНЫ 1</t>
  </si>
  <si>
    <t>Зона 1: Кемерово (в т.ч. Кемеровский р-н), Топки (в т.ч. Топкинский р-н), Юрга (в т.ч. Юргинский р-н)</t>
  </si>
  <si>
    <t>Зона 2: Белово (в т.ч. Беловский р-н), Гурьевский р-н, Ижморский р-н, Крапивинский р-н, Ленинск-Кузнецкий р-н (в т.ч. Полысаево), Мариинск (в т.ч. Мариинский р-н), Новокузнецк/Костенково/Междуреченск/Мыски (в т.ч. Новокузнецкий р-н), Осинникинский р-н, Прокопьевск/Киселевск (в т.ч. Прокопьевский р-н), Промышленная (в т.ч. Промышленовский р-н), Таштаголский р-н, Тисуль/Белогорск/Комсомольск (в т.ч. Тисульский р-н), Тяжинский р-н, Чебулинский р-н, Яя/Анжеро-Судженск (в т.ч. Яйский р-н), Яшкинский р-н</t>
  </si>
  <si>
    <t>Зона 2: Дзержинский район, Енисейский район, Казачинский район, Лесосибирск, Пировский район, Тасеевский район</t>
  </si>
  <si>
    <t>Зона 3: Богучанский район, Кежемский район</t>
  </si>
  <si>
    <t>377725</t>
  </si>
  <si>
    <t>377524</t>
  </si>
  <si>
    <t>422459</t>
  </si>
  <si>
    <t>365277</t>
  </si>
  <si>
    <t>368308</t>
  </si>
  <si>
    <t>368312</t>
  </si>
  <si>
    <t>368430</t>
  </si>
  <si>
    <t>368433</t>
  </si>
  <si>
    <t>368365</t>
  </si>
  <si>
    <t>368366</t>
  </si>
  <si>
    <t>368376</t>
  </si>
  <si>
    <t>226170</t>
  </si>
  <si>
    <t>441217</t>
  </si>
  <si>
    <t>01.08.2012г</t>
  </si>
  <si>
    <t>Завод "ТЕХНО" г.Рязань</t>
  </si>
  <si>
    <t>02 апреля 2013г</t>
  </si>
  <si>
    <t>447799</t>
  </si>
  <si>
    <t>447806</t>
  </si>
  <si>
    <t>365338</t>
  </si>
  <si>
    <t>Техноблок</t>
  </si>
  <si>
    <t>Isobox инсайд</t>
  </si>
  <si>
    <t>Челябинская область: ЗОНА 0</t>
  </si>
  <si>
    <t>Челябинская область: ЗОНА 1</t>
  </si>
  <si>
    <t>Ямало-Ненецкий АО</t>
  </si>
  <si>
    <t>Губкинский, Муравленко, Новый Уренгой, Ноябрьск, Пурпе, Тарко-Сале, Уренгой, по остальным нас.пунктам тариф рассчитывается индивидуально</t>
  </si>
  <si>
    <t>Зона 2:Абзелиловский р-н, Архангельский р-н, Аскинский р-н, Баймакский р-н, Балтачевский р-н, Белокатайский р-н, Белорецкий район (г. Белорецк), Бурзянкский р-н, Гафурийский р-н, Дуванский р-н, Зианчуринский р-н, Зилаирский р-н, Ишимбайский (кроме г. Ишимбай), Караидельский р-н,  Кигинский р-н,  Кугарчинский рн-, Куюргазинский район, Мелеузовский район, Мечетлинский р-н, Нуримановский р-н, Салаватский р-н, Стерлибашевский р-н, Татышлинский р-н, Учалинский район, Федоровский р-н, Хайбулинский р-н</t>
  </si>
  <si>
    <t>Зона 0: Аргаяшский р-н, Ашинский р-н, Верхнеуфалейский р-н, Еманжелинский р-н, Еткульский р-н, Златоустовский р-н, Карабашский р-н, Каслинский р-н, Катаев-Ивановский р-н, Копейский р-н, Коркинский р-н, Красноармейский р-н, Кунашакский р-н, Кусинский р-н, Кыштымский р-н, Миасский р-н, Нязепетровский р-н, Октябрьский р-н, Пластовский р-н, Саткинский р-н, Сосновский р-н, Троицкий р-н, Увельский р-н, Уйский р-н, Усть-Катаевский р-н, Чебаркульский р-н, Челябинский р-н</t>
  </si>
  <si>
    <t>Зона 1: Агаповский р-н, Бреднинский р-н, Варненский р-н, Верхнеуральский р-н, Карталинский р-н, Кизильский р-н, Магнитогорский р-н, Нагайбекский р-н, Чесменский р-н</t>
  </si>
  <si>
    <t>Краснодарский край,  Респ. Адегея</t>
  </si>
  <si>
    <t>ТЕХНОРУФ Н 30 ВЕНТ</t>
  </si>
  <si>
    <t>Нижний слой в системах вентилируемых плоских кровель</t>
  </si>
  <si>
    <t>392694</t>
  </si>
  <si>
    <t>408768</t>
  </si>
  <si>
    <t>421062</t>
  </si>
  <si>
    <t>417646</t>
  </si>
  <si>
    <t>400333</t>
  </si>
  <si>
    <t>399108</t>
  </si>
  <si>
    <t>431411</t>
  </si>
  <si>
    <t>450004</t>
  </si>
  <si>
    <t>457757</t>
  </si>
  <si>
    <t>457761</t>
  </si>
  <si>
    <t>457764</t>
  </si>
  <si>
    <t>Свердловская</t>
  </si>
  <si>
    <t>Челябинская</t>
  </si>
  <si>
    <t>Архангельская</t>
  </si>
  <si>
    <t>Владимирская, Ивановская, Костромская, Тульская, Ярославская</t>
  </si>
  <si>
    <t>Калужская,Тверская</t>
  </si>
  <si>
    <t>полы</t>
  </si>
  <si>
    <t>Волгоградская</t>
  </si>
  <si>
    <t>г. Севастополь</t>
  </si>
  <si>
    <t>Крым АР</t>
  </si>
  <si>
    <t>Крым АР, г.Севастополь</t>
  </si>
  <si>
    <t xml:space="preserve"> Алтайский край, Респ.Алтай</t>
  </si>
  <si>
    <t xml:space="preserve">Зона 0: Азнакаево (в т.ч. Азнакаевский район), Альметьевск (в т.ч. Альметьевский район), Бугульма (в т.ч. Бугульминский район), Елабуга (в т.ч. Елабужский район), Заинск (в т.ч. Заинский район), Лениногорск (в т.ч. Лениногорский район), Набережные Челны (в т.ч. Тукаевский район), Нижнекамск (в т.ч. Нижнекамский район), </t>
  </si>
  <si>
    <t>368266</t>
  </si>
  <si>
    <t>Техноакустик</t>
  </si>
  <si>
    <t>Астраханская</t>
  </si>
  <si>
    <t>Зона1: Альшеевский район, Аургазинский район, Белебеевский район, Бирский район, Буздякский район,  Бакалинский район, Бураевский район, Благоварский район, Бижбулякский район, Благовещенский район, Давлекановский район, Дюртюлинский район, Ермекеевский район, Иглинский район, Илишевский район, Ишимбайский район (только  г.Ишимбай), Кармаскалинский район, Калтасинский район, Краснокамский район, Кушнаренковский район, Миякинский район, Мишкинский район, Стерлитамакский район,  Уфимский район, Чекмагушский район, Чишминский район, Шаранский район, Янаульский район</t>
  </si>
  <si>
    <t>Зона 4: Ермаковский, Идринский, Каратузский, Краснотуранский, Курагинский, Минусинский, Шушенский раоны</t>
  </si>
  <si>
    <t>Зона 1: Красноярск, остальные районы (кроме ЗОНЫ 2, ЗОНЫ 3, ЗОНЫ 4; районов: Игарка, Мотыгинский, Северо-Енисейский, Таймырский Долгано-Ненецкий, Туруханский, Эвенкийский - доставка автотранспортом невозможна из-за отсутствия соответствующих дорожных условий)</t>
  </si>
  <si>
    <t>Красноярский край: ЗОНА 4</t>
  </si>
  <si>
    <t>Новосибирская</t>
  </si>
  <si>
    <t>Кемеровская,Томская</t>
  </si>
  <si>
    <t>РЛ33% Урал</t>
  </si>
  <si>
    <t>Изобокс Урал</t>
  </si>
  <si>
    <t>клины</t>
  </si>
  <si>
    <t>Цена с НДС (DDP), руб. НОВЫЙ</t>
  </si>
  <si>
    <t>Новгородская, Псковская</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</si>
</sst>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
    <numFmt numFmtId="165" formatCode="#,##0.000"/>
    <numFmt numFmtId="166" formatCode="#,##0.0000"/>
    <numFmt numFmtId="167" formatCode="0.0000"/>
    <numFmt numFmtId="168" formatCode="0.0"/>
    <numFmt numFmtId="169" formatCode="0.0%"/>
  </numFmts>
  <fonts count="129" x14ac:knownFonts="1">
    <font>
      <sz val="10"/>
      <name val="Arial Cyr"/>
      <charset val="204"/>
    </font>
    <font>
      <sz val="11"/>
      <color indexed="8"/>
      <name val="Calibri"/>
      <family val="2"/>
      <charset val="204"/>
    </font>
    <font>
      <sz val="11"/>
      <color indexed="8"/>
      <name val="Calibri"/>
      <family val="2"/>
      <charset val="204"/>
    </font>
    <font>
      <u/>
      <sz val="12"/>
      <color indexed="12"/>
      <name val="Arial"/>
      <family val="2"/>
      <charset val="204"/>
    </font>
    <font>
      <sz val="12"/>
      <name val="Arial"/>
      <family val="2"/>
      <charset val="204"/>
    </font>
    <font>
      <b/>
      <sz val="10"/>
      <name val="Arial"/>
      <family val="2"/>
      <charset val="204"/>
    </font>
    <font>
      <sz val="10"/>
      <name val="Arial"/>
      <family val="2"/>
      <charset val="204"/>
    </font>
    <font>
      <b/>
      <sz val="14"/>
      <name val="Arial"/>
      <family val="2"/>
      <charset val="204"/>
    </font>
    <font>
      <sz val="14"/>
      <name val="Arial"/>
      <family val="2"/>
      <charset val="204"/>
    </font>
    <font>
      <b/>
      <vertAlign val="superscript"/>
      <sz val="14"/>
      <name val="Arial"/>
      <family val="2"/>
      <charset val="204"/>
    </font>
    <font>
      <u/>
      <sz val="14"/>
      <color indexed="12"/>
      <name val="Arial"/>
      <family val="2"/>
      <charset val="204"/>
    </font>
    <font>
      <b/>
      <sz val="20"/>
      <name val="Arial"/>
      <family val="2"/>
      <charset val="204"/>
    </font>
    <font>
      <sz val="20"/>
      <name val="Arial"/>
      <family val="2"/>
      <charset val="204"/>
    </font>
    <font>
      <b/>
      <vertAlign val="superscript"/>
      <sz val="24"/>
      <color indexed="10"/>
      <name val="Arial"/>
      <family val="2"/>
      <charset val="204"/>
    </font>
    <font>
      <sz val="8"/>
      <color indexed="81"/>
      <name val="Tahoma"/>
      <family val="2"/>
      <charset val="204"/>
    </font>
    <font>
      <b/>
      <sz val="8"/>
      <color indexed="81"/>
      <name val="Tahoma"/>
      <family val="2"/>
      <charset val="204"/>
    </font>
    <font>
      <u/>
      <sz val="14"/>
      <name val="Arial"/>
      <family val="2"/>
      <charset val="204"/>
    </font>
    <font>
      <sz val="14"/>
      <name val="Arial Cyr"/>
      <charset val="204"/>
    </font>
    <font>
      <b/>
      <sz val="11"/>
      <color indexed="8"/>
      <name val="Calibri"/>
      <family val="2"/>
      <charset val="204"/>
    </font>
    <font>
      <b/>
      <sz val="11"/>
      <name val="Arial"/>
      <family val="2"/>
      <charset val="204"/>
    </font>
    <font>
      <u/>
      <sz val="10"/>
      <color indexed="12"/>
      <name val="Arial"/>
      <family val="2"/>
      <charset val="204"/>
    </font>
    <font>
      <b/>
      <sz val="7"/>
      <color indexed="8"/>
      <name val="Times New Roman"/>
      <family val="1"/>
      <charset val="204"/>
    </font>
    <font>
      <u/>
      <sz val="10"/>
      <name val="Arial"/>
      <family val="2"/>
      <charset val="204"/>
    </font>
    <font>
      <b/>
      <sz val="11"/>
      <color indexed="8"/>
      <name val="Calibri"/>
      <family val="2"/>
      <charset val="204"/>
    </font>
    <font>
      <sz val="14"/>
      <color indexed="10"/>
      <name val="Arial"/>
      <family val="2"/>
      <charset val="204"/>
    </font>
    <font>
      <b/>
      <sz val="16"/>
      <color indexed="10"/>
      <name val="Arial"/>
      <family val="2"/>
      <charset val="204"/>
    </font>
    <font>
      <b/>
      <sz val="24"/>
      <color indexed="10"/>
      <name val="Arial"/>
      <family val="2"/>
      <charset val="204"/>
    </font>
    <font>
      <sz val="10"/>
      <color indexed="10"/>
      <name val="Arial"/>
      <family val="2"/>
      <charset val="204"/>
    </font>
    <font>
      <b/>
      <sz val="8"/>
      <color indexed="8"/>
      <name val="Arial"/>
      <family val="2"/>
      <charset val="204"/>
    </font>
    <font>
      <sz val="8"/>
      <name val="Arial"/>
      <family val="2"/>
      <charset val="204"/>
    </font>
    <font>
      <b/>
      <sz val="10"/>
      <color indexed="8"/>
      <name val="Calibri"/>
      <family val="2"/>
      <charset val="204"/>
    </font>
    <font>
      <sz val="9"/>
      <color indexed="8"/>
      <name val="Calibri"/>
      <family val="2"/>
      <charset val="204"/>
    </font>
    <font>
      <sz val="8"/>
      <color indexed="8"/>
      <name val="Calibri"/>
      <family val="2"/>
      <charset val="204"/>
    </font>
    <font>
      <sz val="8"/>
      <color indexed="8"/>
      <name val="Arial"/>
      <family val="2"/>
      <charset val="204"/>
    </font>
    <font>
      <vertAlign val="superscript"/>
      <sz val="8"/>
      <name val="Arial"/>
      <family val="2"/>
      <charset val="204"/>
    </font>
    <font>
      <b/>
      <sz val="8"/>
      <name val="Arial"/>
      <family val="2"/>
      <charset val="204"/>
    </font>
    <font>
      <sz val="7"/>
      <color indexed="8"/>
      <name val="Arial"/>
      <family val="2"/>
      <charset val="204"/>
    </font>
    <font>
      <sz val="7"/>
      <name val="Arial"/>
      <family val="2"/>
      <charset val="204"/>
    </font>
    <font>
      <sz val="11"/>
      <color indexed="10"/>
      <name val="Arial"/>
      <family val="2"/>
      <charset val="204"/>
    </font>
    <font>
      <b/>
      <sz val="7"/>
      <name val="Arial"/>
      <family val="2"/>
      <charset val="204"/>
    </font>
    <font>
      <sz val="8"/>
      <color indexed="10"/>
      <name val="Arial"/>
      <family val="2"/>
      <charset val="204"/>
    </font>
    <font>
      <sz val="7"/>
      <color indexed="8"/>
      <name val="Calibri"/>
      <family val="2"/>
      <charset val="204"/>
    </font>
    <font>
      <sz val="11"/>
      <name val="Arial"/>
      <family val="2"/>
      <charset val="204"/>
    </font>
    <font>
      <b/>
      <sz val="8"/>
      <color indexed="10"/>
      <name val="Arial"/>
      <family val="2"/>
      <charset val="204"/>
    </font>
    <font>
      <b/>
      <sz val="11"/>
      <name val="Calibri"/>
      <family val="2"/>
      <charset val="204"/>
    </font>
    <font>
      <sz val="11"/>
      <color indexed="8"/>
      <name val="Calibri"/>
      <family val="2"/>
      <charset val="204"/>
    </font>
    <font>
      <b/>
      <sz val="12"/>
      <name val="Arial"/>
      <family val="2"/>
      <charset val="204"/>
    </font>
    <font>
      <b/>
      <i/>
      <sz val="10"/>
      <name val="Arial"/>
      <family val="2"/>
      <charset val="204"/>
    </font>
    <font>
      <b/>
      <sz val="9"/>
      <color indexed="8"/>
      <name val="Calibri"/>
      <family val="2"/>
      <charset val="204"/>
    </font>
    <font>
      <b/>
      <sz val="14"/>
      <color indexed="10"/>
      <name val="Arial"/>
      <family val="2"/>
      <charset val="204"/>
    </font>
    <font>
      <sz val="10"/>
      <name val="Arial Cyr"/>
      <family val="2"/>
      <charset val="204"/>
    </font>
    <font>
      <b/>
      <i/>
      <sz val="10"/>
      <name val="Arial Cyr"/>
      <charset val="204"/>
    </font>
    <font>
      <sz val="10"/>
      <color indexed="10"/>
      <name val="Arial Cyr"/>
      <charset val="204"/>
    </font>
    <font>
      <u/>
      <sz val="10"/>
      <color indexed="12"/>
      <name val="Arial Cyr"/>
      <family val="2"/>
      <charset val="204"/>
    </font>
    <font>
      <sz val="7"/>
      <color indexed="8"/>
      <name val="Arial"/>
      <family val="2"/>
      <charset val="204"/>
    </font>
    <font>
      <i/>
      <sz val="10"/>
      <name val="Arial Cyr"/>
      <charset val="204"/>
    </font>
    <font>
      <sz val="10"/>
      <color indexed="10"/>
      <name val="Arial Cyr"/>
      <family val="2"/>
      <charset val="204"/>
    </font>
    <font>
      <sz val="14"/>
      <color indexed="8"/>
      <name val="Arial"/>
      <family val="2"/>
      <charset val="204"/>
    </font>
    <font>
      <b/>
      <sz val="7"/>
      <color indexed="10"/>
      <name val="Arial"/>
      <family val="2"/>
      <charset val="204"/>
    </font>
    <font>
      <sz val="7"/>
      <color indexed="10"/>
      <name val="Arial"/>
      <family val="2"/>
      <charset val="204"/>
    </font>
    <font>
      <b/>
      <sz val="14"/>
      <color indexed="8"/>
      <name val="Arial"/>
      <family val="2"/>
      <charset val="204"/>
    </font>
    <font>
      <sz val="11"/>
      <color indexed="8"/>
      <name val="Arial"/>
      <family val="2"/>
      <charset val="204"/>
    </font>
    <font>
      <sz val="11"/>
      <color indexed="10"/>
      <name val="Calibri"/>
      <family val="2"/>
      <charset val="204"/>
    </font>
    <font>
      <b/>
      <sz val="8"/>
      <color indexed="8"/>
      <name val="Arial"/>
      <family val="2"/>
      <charset val="204"/>
    </font>
    <font>
      <b/>
      <sz val="11"/>
      <color indexed="81"/>
      <name val="Tahoma"/>
      <family val="2"/>
      <charset val="204"/>
    </font>
    <font>
      <sz val="8"/>
      <name val="Arial Cyr"/>
      <charset val="204"/>
    </font>
    <font>
      <sz val="11"/>
      <color theme="1"/>
      <name val="Calibri"/>
      <family val="2"/>
      <charset val="204"/>
      <scheme val="minor"/>
    </font>
    <font>
      <sz val="10"/>
      <color theme="1"/>
      <name val="Arial Cyr"/>
      <family val="2"/>
      <charset val="204"/>
    </font>
    <font>
      <b/>
      <sz val="14"/>
      <color rgb="FFFF0000"/>
      <name val="Arial"/>
      <family val="2"/>
      <charset val="204"/>
    </font>
    <font>
      <b/>
      <sz val="14"/>
      <color rgb="FF00B050"/>
      <name val="Arial"/>
      <family val="2"/>
      <charset val="204"/>
    </font>
    <font>
      <sz val="14"/>
      <color rgb="FF00B050"/>
      <name val="Arial"/>
      <family val="2"/>
      <charset val="204"/>
    </font>
    <font>
      <b/>
      <sz val="7"/>
      <color rgb="FF00B050"/>
      <name val="Arial"/>
      <family val="2"/>
      <charset val="204"/>
    </font>
    <font>
      <b/>
      <sz val="24"/>
      <color rgb="FFFF0000"/>
      <name val="Arial"/>
      <family val="2"/>
      <charset val="204"/>
    </font>
    <font>
      <b/>
      <sz val="14"/>
      <color theme="1"/>
      <name val="Arial"/>
      <family val="2"/>
      <charset val="204"/>
    </font>
    <font>
      <b/>
      <sz val="16"/>
      <color rgb="FFFF0000"/>
      <name val="Arial"/>
      <family val="2"/>
      <charset val="204"/>
    </font>
    <font>
      <sz val="14"/>
      <color theme="1"/>
      <name val="Arial"/>
      <family val="2"/>
      <charset val="204"/>
    </font>
    <font>
      <sz val="14"/>
      <color rgb="FFFF0000"/>
      <name val="Arial"/>
      <family val="2"/>
      <charset val="204"/>
    </font>
    <font>
      <sz val="10"/>
      <color rgb="FF00B050"/>
      <name val="Arial Cyr"/>
      <family val="2"/>
      <charset val="204"/>
    </font>
    <font>
      <i/>
      <sz val="10"/>
      <name val="Arial"/>
      <family val="2"/>
      <charset val="204"/>
    </font>
    <font>
      <i/>
      <sz val="8"/>
      <name val="Arial"/>
      <family val="2"/>
      <charset val="204"/>
    </font>
    <font>
      <b/>
      <sz val="10"/>
      <color indexed="10"/>
      <name val="Arial"/>
      <family val="2"/>
      <charset val="204"/>
    </font>
    <font>
      <b/>
      <sz val="8"/>
      <color rgb="FFFF0000"/>
      <name val="Arial"/>
      <family val="2"/>
      <charset val="204"/>
    </font>
    <font>
      <b/>
      <sz val="11"/>
      <color theme="1"/>
      <name val="Calibri"/>
      <family val="2"/>
      <charset val="204"/>
      <scheme val="minor"/>
    </font>
    <font>
      <b/>
      <i/>
      <sz val="11"/>
      <color theme="1"/>
      <name val="Calibri"/>
      <family val="2"/>
      <charset val="204"/>
      <scheme val="minor"/>
    </font>
    <font>
      <b/>
      <sz val="8"/>
      <color theme="1" tint="0.14999847407452621"/>
      <name val="Arial"/>
      <family val="2"/>
      <charset val="204"/>
    </font>
    <font>
      <b/>
      <i/>
      <u/>
      <sz val="11"/>
      <color indexed="8"/>
      <name val="Calibri"/>
      <family val="2"/>
      <charset val="204"/>
    </font>
    <font>
      <b/>
      <i/>
      <u/>
      <sz val="11"/>
      <name val="Calibri"/>
      <family val="2"/>
      <charset val="204"/>
    </font>
    <font>
      <b/>
      <sz val="11"/>
      <name val="Calibri"/>
      <family val="2"/>
      <charset val="204"/>
      <scheme val="minor"/>
    </font>
    <font>
      <b/>
      <sz val="10"/>
      <name val="Arial Cyr"/>
      <charset val="204"/>
    </font>
    <font>
      <b/>
      <sz val="8"/>
      <color theme="1"/>
      <name val="Arial"/>
      <family val="2"/>
      <charset val="204"/>
    </font>
    <font>
      <b/>
      <sz val="11"/>
      <color indexed="17"/>
      <name val="Arial"/>
      <family val="2"/>
      <charset val="204"/>
    </font>
    <font>
      <b/>
      <sz val="8"/>
      <color indexed="17"/>
      <name val="Arial"/>
      <family val="2"/>
      <charset val="204"/>
    </font>
    <font>
      <b/>
      <sz val="12"/>
      <color indexed="17"/>
      <name val="Arial"/>
      <family val="2"/>
      <charset val="204"/>
    </font>
    <font>
      <b/>
      <u/>
      <sz val="8"/>
      <color indexed="8"/>
      <name val="Arial"/>
      <family val="2"/>
      <charset val="204"/>
    </font>
    <font>
      <b/>
      <i/>
      <sz val="11"/>
      <name val="Calibri"/>
      <family val="2"/>
      <charset val="204"/>
    </font>
    <font>
      <sz val="14"/>
      <color theme="0" tint="-0.34998626667073579"/>
      <name val="Arial"/>
      <family val="2"/>
      <charset val="204"/>
    </font>
    <font>
      <sz val="20"/>
      <color theme="0" tint="-0.34998626667073579"/>
      <name val="Arial"/>
      <family val="2"/>
      <charset val="204"/>
    </font>
    <font>
      <b/>
      <sz val="16"/>
      <name val="Arial"/>
      <family val="2"/>
      <charset val="204"/>
    </font>
    <font>
      <sz val="20"/>
      <color theme="1"/>
      <name val="Arial"/>
      <family val="2"/>
      <charset val="204"/>
    </font>
    <font>
      <u/>
      <sz val="12"/>
      <color theme="1"/>
      <name val="Arial"/>
      <family val="2"/>
      <charset val="204"/>
    </font>
    <font>
      <sz val="14"/>
      <color theme="0" tint="-4.9989318521683403E-2"/>
      <name val="Arial"/>
      <family val="2"/>
      <charset val="204"/>
    </font>
    <font>
      <sz val="14"/>
      <color theme="4" tint="0.79998168889431442"/>
      <name val="Arial"/>
      <family val="2"/>
      <charset val="204"/>
    </font>
    <font>
      <sz val="14"/>
      <color theme="4" tint="0.59999389629810485"/>
      <name val="Arial"/>
      <family val="2"/>
      <charset val="204"/>
    </font>
    <font>
      <sz val="20"/>
      <color rgb="FFFF0000"/>
      <name val="Arial"/>
      <family val="2"/>
      <charset val="204"/>
    </font>
    <font>
      <sz val="12"/>
      <color rgb="FFFF0000"/>
      <name val="Arial"/>
      <family val="2"/>
      <charset val="204"/>
    </font>
    <font>
      <u/>
      <sz val="12"/>
      <color rgb="FFFF0000"/>
      <name val="Arial"/>
      <family val="2"/>
      <charset val="204"/>
    </font>
    <font>
      <sz val="10"/>
      <color rgb="FFFF0000"/>
      <name val="Arial Cyr"/>
      <charset val="204"/>
    </font>
    <font>
      <sz val="14"/>
      <color rgb="FFFF0000"/>
      <name val="Arial Cyr"/>
      <charset val="204"/>
    </font>
    <font>
      <sz val="9"/>
      <color rgb="FFFF0000"/>
      <name val="Calibri"/>
      <family val="2"/>
      <charset val="204"/>
    </font>
    <font>
      <sz val="8"/>
      <color rgb="FFFF0000"/>
      <name val="Arial"/>
      <family val="2"/>
      <charset val="204"/>
    </font>
    <font>
      <sz val="7"/>
      <color rgb="FFFF0000"/>
      <name val="Arial"/>
      <family val="2"/>
      <charset val="204"/>
    </font>
    <font>
      <sz val="9"/>
      <name val="Arial"/>
      <family val="2"/>
      <charset val="204"/>
    </font>
    <font>
      <sz val="16"/>
      <name val="Arial"/>
      <family val="2"/>
      <charset val="204"/>
    </font>
    <font>
      <sz val="11"/>
      <color rgb="FFFF0000"/>
      <name val="Arial"/>
      <family val="2"/>
      <charset val="204"/>
    </font>
    <font>
      <i/>
      <sz val="9"/>
      <color rgb="FFFF0000"/>
      <name val="Calibri"/>
      <family val="2"/>
      <charset val="204"/>
    </font>
    <font>
      <sz val="9"/>
      <color rgb="FFFF0000"/>
      <name val="Arial"/>
      <family val="2"/>
      <charset val="204"/>
    </font>
    <font>
      <sz val="10"/>
      <color rgb="FFFF0000"/>
      <name val="Arial Cyr"/>
      <family val="2"/>
      <charset val="204"/>
    </font>
    <font>
      <sz val="10"/>
      <name val="Arial Cyr"/>
      <charset val="204"/>
    </font>
    <font>
      <b/>
      <sz val="14"/>
      <color rgb="FF0070C0"/>
      <name val="Arial"/>
      <family val="2"/>
      <charset val="204"/>
    </font>
    <font>
      <b/>
      <sz val="12"/>
      <color rgb="FF0070C0"/>
      <name val="Arial"/>
      <family val="2"/>
      <charset val="204"/>
    </font>
    <font>
      <sz val="10"/>
      <color rgb="FF0070C0"/>
      <name val="Arial Cyr"/>
      <charset val="204"/>
    </font>
    <font>
      <b/>
      <sz val="14"/>
      <color rgb="FF0070C0"/>
      <name val="Arial Cyr"/>
      <charset val="204"/>
    </font>
    <font>
      <b/>
      <sz val="8"/>
      <color rgb="FF00B050"/>
      <name val="Arial"/>
      <family val="2"/>
      <charset val="204"/>
    </font>
    <font>
      <b/>
      <i/>
      <sz val="10"/>
      <name val="Arial Cyr"/>
      <family val="2"/>
      <charset val="204"/>
    </font>
    <font>
      <sz val="11"/>
      <name val="Calibri"/>
      <family val="2"/>
      <charset val="204"/>
    </font>
    <font>
      <sz val="12"/>
      <name val="Calibri"/>
      <family val="2"/>
      <charset val="204"/>
    </font>
    <font>
      <b/>
      <sz val="9"/>
      <color rgb="FF000000"/>
      <name val="Arial"/>
      <family val="2"/>
      <charset val="204"/>
    </font>
    <font>
      <sz val="9"/>
      <color rgb="FF000000"/>
      <name val="Arial"/>
      <family val="2"/>
      <charset val="204"/>
    </font>
    <font>
      <sz val="11"/>
      <color rgb="FF000000"/>
      <name val="Calibri"/>
      <family val="2"/>
      <charset val="204"/>
    </font>
  </fonts>
  <fills count="14">
    <fill>
      <patternFill patternType="none"/>
    </fill>
    <fill>
      <patternFill patternType="gray125"/>
    </fill>
    <fill>
      <patternFill patternType="solid">
        <fgColor indexed="51"/>
        <bgColor indexed="64"/>
      </patternFill>
    </fill>
    <fill>
      <patternFill patternType="solid">
        <fgColor indexed="9"/>
        <bgColor indexed="64"/>
      </patternFill>
    </fill>
    <fill>
      <patternFill patternType="solid">
        <fgColor indexed="45"/>
        <bgColor indexed="64"/>
      </patternFill>
    </fill>
    <fill>
      <patternFill patternType="solid">
        <fgColor indexed="13"/>
        <bgColor indexed="64"/>
      </patternFill>
    </fill>
    <fill>
      <patternFill patternType="solid">
        <fgColor indexed="31"/>
        <bgColor indexed="64"/>
      </patternFill>
    </fill>
    <fill>
      <patternFill patternType="solid">
        <fgColor rgb="FFFFC000"/>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rgb="FF92D050"/>
        <bgColor indexed="64"/>
      </patternFill>
    </fill>
    <fill>
      <patternFill patternType="solid">
        <fgColor theme="9" tint="0.59999389629810485"/>
        <bgColor indexed="64"/>
      </patternFill>
    </fill>
  </fills>
  <borders count="81">
    <border>
      <left/>
      <right/>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22"/>
      </bottom>
      <diagonal/>
    </border>
    <border>
      <left style="medium">
        <color indexed="64"/>
      </left>
      <right style="medium">
        <color indexed="64"/>
      </right>
      <top style="thin">
        <color indexed="22"/>
      </top>
      <bottom style="thin">
        <color indexed="22"/>
      </bottom>
      <diagonal/>
    </border>
    <border>
      <left style="thin">
        <color indexed="64"/>
      </left>
      <right/>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22"/>
      </bottom>
      <diagonal/>
    </border>
    <border>
      <left/>
      <right style="medium">
        <color indexed="64"/>
      </right>
      <top style="medium">
        <color indexed="64"/>
      </top>
      <bottom/>
      <diagonal/>
    </border>
  </borders>
  <cellStyleXfs count="18">
    <xf numFmtId="0" fontId="0" fillId="0" borderId="0"/>
    <xf numFmtId="0" fontId="50" fillId="0" borderId="0"/>
    <xf numFmtId="0" fontId="50" fillId="0" borderId="0"/>
    <xf numFmtId="0" fontId="3" fillId="0" borderId="0" applyNumberFormat="0" applyFill="0" applyBorder="0" applyAlignment="0" applyProtection="0">
      <alignment vertical="top"/>
      <protection locked="0"/>
    </xf>
    <xf numFmtId="0" fontId="3" fillId="0" borderId="0" applyNumberFormat="0" applyFill="0" applyBorder="0" applyAlignment="0" applyProtection="0"/>
    <xf numFmtId="0" fontId="53" fillId="0" borderId="0" applyNumberFormat="0" applyFill="0" applyBorder="0" applyAlignment="0" applyProtection="0"/>
    <xf numFmtId="0" fontId="66" fillId="0" borderId="0"/>
    <xf numFmtId="0" fontId="50" fillId="0" borderId="0"/>
    <xf numFmtId="0" fontId="45" fillId="0" borderId="0"/>
    <xf numFmtId="0" fontId="6" fillId="0" borderId="0"/>
    <xf numFmtId="0" fontId="6" fillId="0" borderId="0"/>
    <xf numFmtId="0" fontId="45" fillId="0" borderId="0"/>
    <xf numFmtId="0" fontId="50" fillId="0" borderId="0"/>
    <xf numFmtId="0" fontId="4" fillId="0" borderId="0"/>
    <xf numFmtId="0" fontId="45" fillId="0" borderId="0"/>
    <xf numFmtId="0" fontId="29" fillId="0" borderId="0">
      <alignment horizontal="left"/>
    </xf>
    <xf numFmtId="0" fontId="29" fillId="0" borderId="0">
      <alignment horizontal="left"/>
    </xf>
    <xf numFmtId="9" fontId="117" fillId="0" borderId="0" applyFont="0" applyFill="0" applyBorder="0" applyAlignment="0" applyProtection="0"/>
  </cellStyleXfs>
  <cellXfs count="1414">
    <xf numFmtId="0" fontId="0" fillId="0" borderId="0" xfId="0"/>
    <xf numFmtId="0" fontId="7" fillId="0" borderId="0" xfId="13" applyFont="1" applyAlignment="1">
      <alignment wrapText="1"/>
    </xf>
    <xf numFmtId="0" fontId="8" fillId="0" borderId="0" xfId="13" applyFont="1"/>
    <xf numFmtId="0" fontId="8" fillId="0" borderId="0" xfId="13" applyFont="1" applyAlignment="1">
      <alignment wrapText="1"/>
    </xf>
    <xf numFmtId="1" fontId="8" fillId="0" borderId="0" xfId="13" applyNumberFormat="1" applyFont="1"/>
    <xf numFmtId="164" fontId="8" fillId="0" borderId="0" xfId="13" applyNumberFormat="1" applyFont="1"/>
    <xf numFmtId="0" fontId="8" fillId="0" borderId="0" xfId="13" applyFont="1" applyBorder="1" applyAlignment="1">
      <alignment wrapText="1"/>
    </xf>
    <xf numFmtId="0" fontId="8" fillId="0" borderId="0" xfId="13" applyFont="1" applyBorder="1" applyAlignment="1"/>
    <xf numFmtId="0" fontId="7" fillId="0" borderId="1" xfId="13" applyFont="1" applyBorder="1" applyAlignment="1">
      <alignment horizontal="left" vertical="top" wrapText="1"/>
    </xf>
    <xf numFmtId="0" fontId="8" fillId="0" borderId="2" xfId="13" applyFont="1" applyBorder="1" applyAlignment="1">
      <alignment horizontal="center" vertical="top" wrapText="1"/>
    </xf>
    <xf numFmtId="0" fontId="8" fillId="0" borderId="3" xfId="13" applyFont="1" applyBorder="1" applyAlignment="1">
      <alignment horizontal="center" vertical="top" wrapText="1"/>
    </xf>
    <xf numFmtId="0" fontId="8" fillId="0" borderId="4" xfId="13" applyFont="1" applyBorder="1" applyAlignment="1">
      <alignment horizontal="center" vertical="top" wrapText="1"/>
    </xf>
    <xf numFmtId="0" fontId="8" fillId="0" borderId="5" xfId="13" applyFont="1" applyBorder="1" applyAlignment="1">
      <alignment horizontal="center" vertical="top" wrapText="1"/>
    </xf>
    <xf numFmtId="0" fontId="8" fillId="0" borderId="6" xfId="13" applyFont="1" applyBorder="1" applyAlignment="1">
      <alignment horizontal="center" vertical="top" wrapText="1"/>
    </xf>
    <xf numFmtId="0" fontId="8" fillId="0" borderId="7" xfId="13" applyFont="1" applyBorder="1" applyAlignment="1">
      <alignment horizontal="center" vertical="top" wrapText="1"/>
    </xf>
    <xf numFmtId="0" fontId="8" fillId="0" borderId="8" xfId="13" applyFont="1" applyBorder="1" applyAlignment="1">
      <alignment horizontal="center" vertical="top" wrapText="1"/>
    </xf>
    <xf numFmtId="0" fontId="8" fillId="0" borderId="9" xfId="13" applyFont="1" applyBorder="1" applyAlignment="1">
      <alignment horizontal="center" vertical="top" wrapText="1"/>
    </xf>
    <xf numFmtId="0" fontId="8" fillId="0" borderId="10" xfId="13" applyFont="1" applyBorder="1" applyAlignment="1">
      <alignment horizontal="center" vertical="top" wrapText="1"/>
    </xf>
    <xf numFmtId="0" fontId="8" fillId="0" borderId="0" xfId="13" applyFont="1" applyAlignment="1">
      <alignment horizontal="left" wrapText="1"/>
    </xf>
    <xf numFmtId="0" fontId="7" fillId="0" borderId="0" xfId="13" applyFont="1" applyBorder="1" applyAlignment="1">
      <alignment vertical="top" wrapText="1"/>
    </xf>
    <xf numFmtId="0" fontId="8" fillId="0" borderId="0" xfId="13" applyFont="1" applyBorder="1"/>
    <xf numFmtId="1" fontId="8" fillId="0" borderId="0" xfId="13" applyNumberFormat="1" applyFont="1" applyBorder="1"/>
    <xf numFmtId="0" fontId="7" fillId="0" borderId="0" xfId="13" applyFont="1" applyBorder="1" applyAlignment="1">
      <alignment vertical="top"/>
    </xf>
    <xf numFmtId="0" fontId="8" fillId="0" borderId="0" xfId="13" applyFont="1" applyBorder="1" applyAlignment="1">
      <alignment vertical="top" wrapText="1"/>
    </xf>
    <xf numFmtId="0" fontId="8" fillId="0" borderId="0" xfId="13" applyFont="1" applyBorder="1" applyAlignment="1">
      <alignment vertical="top"/>
    </xf>
    <xf numFmtId="0" fontId="10" fillId="0" borderId="0" xfId="3" applyFont="1" applyAlignment="1" applyProtection="1"/>
    <xf numFmtId="0" fontId="8" fillId="0" borderId="0" xfId="13" applyFont="1" applyAlignment="1">
      <alignment horizontal="left"/>
    </xf>
    <xf numFmtId="0" fontId="12" fillId="0" borderId="0" xfId="13" applyFont="1"/>
    <xf numFmtId="1" fontId="12" fillId="0" borderId="0" xfId="13" applyNumberFormat="1" applyFont="1"/>
    <xf numFmtId="164" fontId="12" fillId="0" borderId="0" xfId="13" applyNumberFormat="1" applyFont="1"/>
    <xf numFmtId="0" fontId="8" fillId="0" borderId="0" xfId="13" applyFont="1" applyAlignment="1">
      <alignment horizontal="left" indent="2"/>
    </xf>
    <xf numFmtId="0" fontId="6" fillId="0" borderId="0" xfId="13" applyFont="1" applyAlignment="1">
      <alignment horizontal="left" indent="2"/>
    </xf>
    <xf numFmtId="0" fontId="24" fillId="0" borderId="0" xfId="13" applyFont="1"/>
    <xf numFmtId="1" fontId="24" fillId="0" borderId="0" xfId="13" applyNumberFormat="1" applyFont="1"/>
    <xf numFmtId="164" fontId="24" fillId="0" borderId="0" xfId="13" applyNumberFormat="1" applyFont="1"/>
    <xf numFmtId="0" fontId="7" fillId="0" borderId="11" xfId="13" applyFont="1" applyBorder="1" applyAlignment="1">
      <alignment horizontal="left" vertical="top" wrapText="1"/>
    </xf>
    <xf numFmtId="1" fontId="7" fillId="0" borderId="6" xfId="13" applyNumberFormat="1" applyFont="1" applyBorder="1" applyAlignment="1">
      <alignment horizontal="center" vertical="top" wrapText="1"/>
    </xf>
    <xf numFmtId="1" fontId="7" fillId="0" borderId="3" xfId="13" applyNumberFormat="1" applyFont="1" applyBorder="1" applyAlignment="1">
      <alignment horizontal="center" vertical="top" wrapText="1"/>
    </xf>
    <xf numFmtId="2" fontId="25" fillId="0" borderId="7" xfId="13" applyNumberFormat="1" applyFont="1" applyBorder="1" applyAlignment="1">
      <alignment horizontal="center" vertical="top" wrapText="1"/>
    </xf>
    <xf numFmtId="1" fontId="7" fillId="0" borderId="9" xfId="13" applyNumberFormat="1" applyFont="1" applyBorder="1" applyAlignment="1">
      <alignment horizontal="center" vertical="top" wrapText="1"/>
    </xf>
    <xf numFmtId="2" fontId="25" fillId="0" borderId="10" xfId="13" applyNumberFormat="1" applyFont="1" applyBorder="1" applyAlignment="1">
      <alignment horizontal="center" vertical="top" wrapText="1"/>
    </xf>
    <xf numFmtId="0" fontId="26" fillId="2" borderId="10" xfId="13" applyFont="1" applyFill="1" applyBorder="1" applyAlignment="1">
      <alignment horizontal="center" vertical="center" wrapText="1"/>
    </xf>
    <xf numFmtId="0" fontId="7" fillId="2" borderId="12" xfId="13" applyFont="1" applyFill="1" applyBorder="1" applyAlignment="1">
      <alignment horizontal="center" vertical="center" wrapText="1"/>
    </xf>
    <xf numFmtId="1" fontId="7" fillId="2" borderId="8" xfId="13" applyNumberFormat="1" applyFont="1" applyFill="1" applyBorder="1" applyAlignment="1">
      <alignment horizontal="center" vertical="center" wrapText="1"/>
    </xf>
    <xf numFmtId="164" fontId="7" fillId="2" borderId="10" xfId="13" applyNumberFormat="1" applyFont="1" applyFill="1" applyBorder="1" applyAlignment="1">
      <alignment horizontal="center" vertical="center" wrapText="1"/>
    </xf>
    <xf numFmtId="1" fontId="8" fillId="0" borderId="2" xfId="13" applyNumberFormat="1" applyFont="1" applyBorder="1" applyAlignment="1">
      <alignment horizontal="center" vertical="top" wrapText="1"/>
    </xf>
    <xf numFmtId="164" fontId="8" fillId="0" borderId="4" xfId="13" applyNumberFormat="1" applyFont="1" applyBorder="1" applyAlignment="1">
      <alignment horizontal="center" vertical="top" wrapText="1"/>
    </xf>
    <xf numFmtId="1" fontId="8" fillId="0" borderId="5" xfId="13" applyNumberFormat="1" applyFont="1" applyBorder="1" applyAlignment="1">
      <alignment horizontal="center" vertical="top" wrapText="1"/>
    </xf>
    <xf numFmtId="164" fontId="8" fillId="0" borderId="7" xfId="13" applyNumberFormat="1" applyFont="1" applyBorder="1" applyAlignment="1">
      <alignment horizontal="center" vertical="top" wrapText="1"/>
    </xf>
    <xf numFmtId="1" fontId="8" fillId="0" borderId="8" xfId="13" applyNumberFormat="1" applyFont="1" applyBorder="1" applyAlignment="1">
      <alignment horizontal="center" vertical="top" wrapText="1"/>
    </xf>
    <xf numFmtId="164" fontId="8" fillId="0" borderId="10" xfId="13" applyNumberFormat="1" applyFont="1" applyBorder="1" applyAlignment="1">
      <alignment horizontal="center" vertical="top" wrapText="1"/>
    </xf>
    <xf numFmtId="2" fontId="8" fillId="0" borderId="2" xfId="13" applyNumberFormat="1" applyFont="1" applyBorder="1" applyAlignment="1">
      <alignment horizontal="center" vertical="top" wrapText="1"/>
    </xf>
    <xf numFmtId="2" fontId="8" fillId="0" borderId="5" xfId="13" applyNumberFormat="1" applyFont="1" applyBorder="1" applyAlignment="1">
      <alignment horizontal="center" vertical="top" wrapText="1"/>
    </xf>
    <xf numFmtId="2" fontId="8" fillId="0" borderId="8" xfId="13" applyNumberFormat="1" applyFont="1" applyBorder="1" applyAlignment="1">
      <alignment horizontal="center" vertical="top" wrapText="1"/>
    </xf>
    <xf numFmtId="0" fontId="7" fillId="2" borderId="9" xfId="13" applyFont="1" applyFill="1" applyBorder="1" applyAlignment="1">
      <alignment horizontal="center" vertical="center" wrapText="1"/>
    </xf>
    <xf numFmtId="164" fontId="8" fillId="0" borderId="13" xfId="13" applyNumberFormat="1" applyFont="1" applyBorder="1" applyAlignment="1">
      <alignment horizontal="center" vertical="top" wrapText="1"/>
    </xf>
    <xf numFmtId="165" fontId="8" fillId="0" borderId="0" xfId="13" applyNumberFormat="1" applyFont="1"/>
    <xf numFmtId="165" fontId="12" fillId="0" borderId="0" xfId="13" applyNumberFormat="1" applyFont="1"/>
    <xf numFmtId="165" fontId="8" fillId="0" borderId="0" xfId="13" applyNumberFormat="1" applyFont="1" applyBorder="1" applyAlignment="1"/>
    <xf numFmtId="165" fontId="24" fillId="0" borderId="0" xfId="13" applyNumberFormat="1" applyFont="1"/>
    <xf numFmtId="165" fontId="8" fillId="0" borderId="0" xfId="13" applyNumberFormat="1" applyFont="1" applyBorder="1"/>
    <xf numFmtId="0" fontId="7" fillId="0" borderId="14" xfId="13" applyFont="1" applyBorder="1" applyAlignment="1">
      <alignment horizontal="center" vertical="top" wrapText="1"/>
    </xf>
    <xf numFmtId="0" fontId="7" fillId="0" borderId="15" xfId="13" applyFont="1" applyBorder="1" applyAlignment="1">
      <alignment horizontal="center" vertical="top" wrapText="1"/>
    </xf>
    <xf numFmtId="0" fontId="7" fillId="0" borderId="16" xfId="13" applyFont="1" applyBorder="1" applyAlignment="1">
      <alignment horizontal="center" vertical="top" wrapText="1"/>
    </xf>
    <xf numFmtId="164" fontId="7" fillId="2" borderId="17" xfId="13" applyNumberFormat="1" applyFont="1" applyFill="1" applyBorder="1" applyAlignment="1">
      <alignment horizontal="center" vertical="center" wrapText="1"/>
    </xf>
    <xf numFmtId="164" fontId="7" fillId="2" borderId="12" xfId="13" applyNumberFormat="1" applyFont="1" applyFill="1" applyBorder="1" applyAlignment="1">
      <alignment horizontal="center" vertical="center" wrapText="1"/>
    </xf>
    <xf numFmtId="164" fontId="7" fillId="2" borderId="18" xfId="13" applyNumberFormat="1" applyFont="1" applyFill="1" applyBorder="1" applyAlignment="1">
      <alignment horizontal="center" vertical="center" wrapText="1"/>
    </xf>
    <xf numFmtId="1" fontId="8" fillId="0" borderId="0" xfId="13" applyNumberFormat="1" applyFont="1" applyBorder="1" applyAlignment="1"/>
    <xf numFmtId="1" fontId="7" fillId="2" borderId="19" xfId="13" applyNumberFormat="1" applyFont="1" applyFill="1" applyBorder="1" applyAlignment="1">
      <alignment horizontal="center" vertical="center" wrapText="1"/>
    </xf>
    <xf numFmtId="1" fontId="7" fillId="0" borderId="0" xfId="13" applyNumberFormat="1" applyFont="1" applyBorder="1" applyAlignment="1">
      <alignment vertical="top"/>
    </xf>
    <xf numFmtId="1" fontId="8" fillId="0" borderId="0" xfId="13" applyNumberFormat="1" applyFont="1" applyBorder="1" applyAlignment="1">
      <alignment vertical="top"/>
    </xf>
    <xf numFmtId="0" fontId="7" fillId="0" borderId="0" xfId="13" applyFont="1"/>
    <xf numFmtId="0" fontId="11" fillId="0" borderId="0" xfId="13" applyFont="1"/>
    <xf numFmtId="0" fontId="7" fillId="0" borderId="0" xfId="13" applyFont="1" applyBorder="1" applyAlignment="1"/>
    <xf numFmtId="0" fontId="3" fillId="0" borderId="0" xfId="3" applyBorder="1" applyAlignment="1" applyProtection="1">
      <alignment vertical="top" wrapText="1"/>
    </xf>
    <xf numFmtId="0" fontId="11" fillId="0" borderId="0" xfId="13" applyFont="1" applyAlignment="1">
      <alignment horizontal="left"/>
    </xf>
    <xf numFmtId="0" fontId="7" fillId="0" borderId="20" xfId="13" applyFont="1" applyBorder="1" applyAlignment="1">
      <alignment horizontal="left" vertical="top" wrapText="1"/>
    </xf>
    <xf numFmtId="3" fontId="8" fillId="0" borderId="0" xfId="13" applyNumberFormat="1" applyFont="1"/>
    <xf numFmtId="9" fontId="8" fillId="0" borderId="0" xfId="13" applyNumberFormat="1" applyFont="1"/>
    <xf numFmtId="0" fontId="17" fillId="0" borderId="0" xfId="0" applyFont="1"/>
    <xf numFmtId="3" fontId="17" fillId="0" borderId="0" xfId="0" applyNumberFormat="1" applyFont="1"/>
    <xf numFmtId="0" fontId="10" fillId="0" borderId="0" xfId="3" applyFont="1" applyBorder="1" applyAlignment="1" applyProtection="1">
      <alignment vertical="top" wrapText="1"/>
    </xf>
    <xf numFmtId="10" fontId="8" fillId="0" borderId="0" xfId="13" applyNumberFormat="1" applyFont="1"/>
    <xf numFmtId="10" fontId="12" fillId="0" borderId="0" xfId="13" applyNumberFormat="1" applyFont="1"/>
    <xf numFmtId="10" fontId="24" fillId="0" borderId="0" xfId="13" applyNumberFormat="1" applyFont="1"/>
    <xf numFmtId="10" fontId="0" fillId="0" borderId="0" xfId="0" applyNumberFormat="1"/>
    <xf numFmtId="10" fontId="17" fillId="0" borderId="0" xfId="0" applyNumberFormat="1" applyFont="1"/>
    <xf numFmtId="0" fontId="7" fillId="0" borderId="21" xfId="13" applyFont="1" applyBorder="1" applyAlignment="1">
      <alignment horizontal="center" vertical="top" wrapText="1"/>
    </xf>
    <xf numFmtId="2" fontId="8" fillId="3" borderId="22" xfId="13" applyNumberFormat="1" applyFont="1" applyFill="1" applyBorder="1" applyAlignment="1">
      <alignment horizontal="center" vertical="top" wrapText="1"/>
    </xf>
    <xf numFmtId="2" fontId="8" fillId="3" borderId="12" xfId="13" applyNumberFormat="1" applyFont="1" applyFill="1" applyBorder="1" applyAlignment="1">
      <alignment horizontal="center" vertical="top" wrapText="1"/>
    </xf>
    <xf numFmtId="1" fontId="7" fillId="3" borderId="9" xfId="13" applyNumberFormat="1" applyFont="1" applyFill="1" applyBorder="1" applyAlignment="1">
      <alignment horizontal="center" vertical="top" wrapText="1"/>
    </xf>
    <xf numFmtId="0" fontId="8" fillId="3" borderId="0" xfId="13" applyFont="1" applyFill="1"/>
    <xf numFmtId="1" fontId="8" fillId="3" borderId="0" xfId="13" applyNumberFormat="1" applyFont="1" applyFill="1"/>
    <xf numFmtId="165" fontId="8" fillId="3" borderId="0" xfId="13" applyNumberFormat="1" applyFont="1" applyFill="1"/>
    <xf numFmtId="164" fontId="8" fillId="3" borderId="0" xfId="13" applyNumberFormat="1" applyFont="1" applyFill="1"/>
    <xf numFmtId="1" fontId="8" fillId="0" borderId="23" xfId="13" applyNumberFormat="1" applyFont="1" applyBorder="1" applyAlignment="1">
      <alignment horizontal="center" vertical="top" wrapText="1"/>
    </xf>
    <xf numFmtId="1" fontId="8" fillId="0" borderId="22" xfId="13" applyNumberFormat="1" applyFont="1" applyBorder="1" applyAlignment="1">
      <alignment horizontal="center" vertical="top" wrapText="1"/>
    </xf>
    <xf numFmtId="1" fontId="8" fillId="0" borderId="5" xfId="13" applyNumberFormat="1" applyFont="1" applyFill="1" applyBorder="1" applyAlignment="1">
      <alignment horizontal="center" vertical="top" wrapText="1"/>
    </xf>
    <xf numFmtId="1" fontId="8" fillId="0" borderId="24" xfId="13" applyNumberFormat="1" applyFont="1" applyFill="1" applyBorder="1" applyAlignment="1">
      <alignment horizontal="center" vertical="top" wrapText="1"/>
    </xf>
    <xf numFmtId="1" fontId="7" fillId="3" borderId="25" xfId="13" applyNumberFormat="1" applyFont="1" applyFill="1" applyBorder="1" applyAlignment="1">
      <alignment horizontal="center" vertical="top" wrapText="1"/>
    </xf>
    <xf numFmtId="1" fontId="7" fillId="0" borderId="23" xfId="13" applyNumberFormat="1" applyFont="1" applyBorder="1" applyAlignment="1">
      <alignment horizontal="center" vertical="top" wrapText="1"/>
    </xf>
    <xf numFmtId="2" fontId="25" fillId="3" borderId="25" xfId="13" applyNumberFormat="1" applyFont="1" applyFill="1" applyBorder="1" applyAlignment="1">
      <alignment horizontal="center" vertical="top" wrapText="1"/>
    </xf>
    <xf numFmtId="2" fontId="25" fillId="3" borderId="9" xfId="13" applyNumberFormat="1" applyFont="1" applyFill="1" applyBorder="1" applyAlignment="1">
      <alignment horizontal="center" vertical="top" wrapText="1"/>
    </xf>
    <xf numFmtId="2" fontId="25" fillId="0" borderId="6" xfId="13" applyNumberFormat="1" applyFont="1" applyBorder="1" applyAlignment="1">
      <alignment horizontal="center" vertical="top" wrapText="1"/>
    </xf>
    <xf numFmtId="2" fontId="25" fillId="0" borderId="26" xfId="13" applyNumberFormat="1" applyFont="1" applyBorder="1" applyAlignment="1">
      <alignment horizontal="center" vertical="top" wrapText="1"/>
    </xf>
    <xf numFmtId="2" fontId="25" fillId="0" borderId="18" xfId="13" applyNumberFormat="1" applyFont="1" applyBorder="1" applyAlignment="1">
      <alignment horizontal="center" vertical="top" wrapText="1"/>
    </xf>
    <xf numFmtId="0" fontId="7" fillId="0" borderId="27" xfId="13" applyFont="1" applyBorder="1" applyAlignment="1">
      <alignment horizontal="center" vertical="top" wrapText="1"/>
    </xf>
    <xf numFmtId="0" fontId="7" fillId="0" borderId="24" xfId="13" applyFont="1" applyBorder="1" applyAlignment="1">
      <alignment horizontal="center" vertical="top" wrapText="1"/>
    </xf>
    <xf numFmtId="0" fontId="7" fillId="0" borderId="28" xfId="13" applyFont="1" applyBorder="1" applyAlignment="1">
      <alignment horizontal="center" vertical="top" wrapText="1"/>
    </xf>
    <xf numFmtId="164" fontId="7" fillId="2" borderId="1" xfId="13" applyNumberFormat="1" applyFont="1" applyFill="1" applyBorder="1" applyAlignment="1">
      <alignment horizontal="center" vertical="center" textRotation="90" wrapText="1"/>
    </xf>
    <xf numFmtId="164" fontId="7" fillId="2" borderId="29" xfId="13" applyNumberFormat="1" applyFont="1" applyFill="1" applyBorder="1" applyAlignment="1">
      <alignment horizontal="center" vertical="center" textRotation="90" wrapText="1"/>
    </xf>
    <xf numFmtId="0" fontId="7" fillId="3" borderId="30" xfId="13" applyFont="1" applyFill="1" applyBorder="1" applyAlignment="1">
      <alignment horizontal="center" vertical="top" wrapText="1"/>
    </xf>
    <xf numFmtId="0" fontId="7" fillId="0" borderId="31" xfId="13" applyFont="1" applyBorder="1" applyAlignment="1">
      <alignment horizontal="center" vertical="top" wrapText="1"/>
    </xf>
    <xf numFmtId="0" fontId="7" fillId="0" borderId="32" xfId="13" applyFont="1" applyBorder="1" applyAlignment="1">
      <alignment horizontal="center" vertical="top" wrapText="1"/>
    </xf>
    <xf numFmtId="164" fontId="7" fillId="2" borderId="33" xfId="13" applyNumberFormat="1" applyFont="1" applyFill="1" applyBorder="1" applyAlignment="1">
      <alignment horizontal="center" vertical="center" textRotation="90" wrapText="1"/>
    </xf>
    <xf numFmtId="0" fontId="7" fillId="4" borderId="6" xfId="13" applyFont="1" applyFill="1" applyBorder="1" applyAlignment="1">
      <alignment horizontal="center" vertical="top" wrapText="1"/>
    </xf>
    <xf numFmtId="0" fontId="7" fillId="4" borderId="24" xfId="13" applyFont="1" applyFill="1" applyBorder="1" applyAlignment="1">
      <alignment horizontal="center" vertical="top" wrapText="1"/>
    </xf>
    <xf numFmtId="164" fontId="7" fillId="2" borderId="32" xfId="13" applyNumberFormat="1" applyFont="1" applyFill="1" applyBorder="1" applyAlignment="1">
      <alignment horizontal="center" vertical="center" textRotation="90" wrapText="1"/>
    </xf>
    <xf numFmtId="0" fontId="7" fillId="0" borderId="23" xfId="13" applyFont="1" applyBorder="1" applyAlignment="1">
      <alignment horizontal="center" vertical="top" wrapText="1"/>
    </xf>
    <xf numFmtId="0" fontId="7" fillId="0" borderId="12" xfId="13" applyFont="1" applyBorder="1" applyAlignment="1">
      <alignment horizontal="center" vertical="top" wrapText="1"/>
    </xf>
    <xf numFmtId="0" fontId="7" fillId="0" borderId="2" xfId="13" applyFont="1" applyBorder="1" applyAlignment="1">
      <alignment horizontal="center" vertical="top" wrapText="1"/>
    </xf>
    <xf numFmtId="0" fontId="7" fillId="0" borderId="5" xfId="13" applyFont="1" applyBorder="1" applyAlignment="1">
      <alignment horizontal="center" vertical="top" wrapText="1"/>
    </xf>
    <xf numFmtId="0" fontId="7" fillId="0" borderId="8" xfId="13" applyFont="1" applyBorder="1" applyAlignment="1">
      <alignment horizontal="center" vertical="top" wrapText="1"/>
    </xf>
    <xf numFmtId="0" fontId="7" fillId="0" borderId="22" xfId="13" applyFont="1" applyBorder="1" applyAlignment="1">
      <alignment horizontal="center" vertical="top" wrapText="1"/>
    </xf>
    <xf numFmtId="0" fontId="7" fillId="0" borderId="6" xfId="13" applyFont="1" applyFill="1" applyBorder="1" applyAlignment="1">
      <alignment horizontal="center" vertical="top" wrapText="1"/>
    </xf>
    <xf numFmtId="1" fontId="8" fillId="0" borderId="6" xfId="13" applyNumberFormat="1" applyFont="1" applyFill="1" applyBorder="1" applyAlignment="1">
      <alignment horizontal="center" vertical="top" wrapText="1"/>
    </xf>
    <xf numFmtId="167" fontId="8" fillId="0" borderId="7" xfId="13" applyNumberFormat="1" applyFont="1" applyFill="1" applyBorder="1" applyAlignment="1">
      <alignment horizontal="center" vertical="top" wrapText="1"/>
    </xf>
    <xf numFmtId="1" fontId="8" fillId="0" borderId="23" xfId="13" applyNumberFormat="1" applyFont="1" applyFill="1" applyBorder="1" applyAlignment="1">
      <alignment horizontal="center" vertical="top" wrapText="1"/>
    </xf>
    <xf numFmtId="1" fontId="8" fillId="0" borderId="9" xfId="13" applyNumberFormat="1" applyFont="1" applyFill="1" applyBorder="1" applyAlignment="1">
      <alignment horizontal="center" vertical="top" wrapText="1"/>
    </xf>
    <xf numFmtId="167" fontId="8" fillId="0" borderId="10" xfId="13" applyNumberFormat="1" applyFont="1" applyFill="1" applyBorder="1" applyAlignment="1">
      <alignment horizontal="center" vertical="top" wrapText="1"/>
    </xf>
    <xf numFmtId="1" fontId="8" fillId="0" borderId="12" xfId="13" applyNumberFormat="1" applyFont="1" applyFill="1" applyBorder="1" applyAlignment="1">
      <alignment horizontal="center" vertical="top" wrapText="1"/>
    </xf>
    <xf numFmtId="1" fontId="8" fillId="0" borderId="25" xfId="13" applyNumberFormat="1" applyFont="1" applyFill="1" applyBorder="1" applyAlignment="1">
      <alignment horizontal="center" vertical="top" wrapText="1"/>
    </xf>
    <xf numFmtId="167" fontId="8" fillId="0" borderId="13" xfId="13" applyNumberFormat="1" applyFont="1" applyFill="1" applyBorder="1" applyAlignment="1">
      <alignment horizontal="center" vertical="top" wrapText="1"/>
    </xf>
    <xf numFmtId="1" fontId="8" fillId="0" borderId="22" xfId="13" applyNumberFormat="1" applyFont="1" applyFill="1" applyBorder="1" applyAlignment="1">
      <alignment horizontal="center" vertical="top" wrapText="1"/>
    </xf>
    <xf numFmtId="0" fontId="8" fillId="0" borderId="0" xfId="13" applyFont="1" applyFill="1"/>
    <xf numFmtId="1" fontId="8" fillId="0" borderId="0" xfId="13" applyNumberFormat="1" applyFont="1" applyFill="1"/>
    <xf numFmtId="167" fontId="8" fillId="0" borderId="0" xfId="13" applyNumberFormat="1" applyFont="1" applyFill="1"/>
    <xf numFmtId="165" fontId="8" fillId="0" borderId="0" xfId="13" applyNumberFormat="1" applyFont="1" applyFill="1"/>
    <xf numFmtId="0" fontId="7" fillId="0" borderId="0" xfId="13" applyFont="1" applyFill="1"/>
    <xf numFmtId="0" fontId="19" fillId="0" borderId="0" xfId="13" applyFont="1" applyAlignment="1">
      <alignment horizontal="left"/>
    </xf>
    <xf numFmtId="0" fontId="23" fillId="0" borderId="0" xfId="6" applyFont="1" applyAlignment="1"/>
    <xf numFmtId="0" fontId="23" fillId="0" borderId="0" xfId="6" applyFont="1"/>
    <xf numFmtId="0" fontId="6" fillId="0" borderId="0" xfId="13" applyFont="1"/>
    <xf numFmtId="164" fontId="6" fillId="0" borderId="0" xfId="13" applyNumberFormat="1" applyFont="1"/>
    <xf numFmtId="0" fontId="23" fillId="0" borderId="8" xfId="6" applyFont="1" applyBorder="1"/>
    <xf numFmtId="0" fontId="23" fillId="0" borderId="9" xfId="6" applyFont="1" applyBorder="1"/>
    <xf numFmtId="0" fontId="23" fillId="0" borderId="10" xfId="6" applyFont="1" applyBorder="1"/>
    <xf numFmtId="0" fontId="23" fillId="0" borderId="12" xfId="6" applyFont="1" applyBorder="1"/>
    <xf numFmtId="0" fontId="23" fillId="0" borderId="17" xfId="6" applyFont="1" applyBorder="1"/>
    <xf numFmtId="0" fontId="23" fillId="0" borderId="16" xfId="6" applyFont="1" applyBorder="1"/>
    <xf numFmtId="0" fontId="23" fillId="0" borderId="32" xfId="6" applyFont="1" applyBorder="1" applyAlignment="1">
      <alignment horizontal="center" vertical="center"/>
    </xf>
    <xf numFmtId="0" fontId="23" fillId="0" borderId="31" xfId="6" applyFont="1" applyBorder="1" applyAlignment="1">
      <alignment horizontal="center" vertical="center"/>
    </xf>
    <xf numFmtId="0" fontId="23" fillId="0" borderId="15" xfId="6" applyFont="1" applyBorder="1" applyAlignment="1">
      <alignment horizontal="center" vertical="center"/>
    </xf>
    <xf numFmtId="0" fontId="23" fillId="0" borderId="24" xfId="6" applyFont="1" applyBorder="1" applyAlignment="1">
      <alignment horizontal="center" vertical="center"/>
    </xf>
    <xf numFmtId="0" fontId="23" fillId="0" borderId="16" xfId="6" applyFont="1" applyBorder="1" applyAlignment="1">
      <alignment horizontal="center" vertical="center"/>
    </xf>
    <xf numFmtId="0" fontId="23" fillId="0" borderId="28" xfId="6" applyFont="1" applyBorder="1" applyAlignment="1">
      <alignment horizontal="center" vertical="center"/>
    </xf>
    <xf numFmtId="0" fontId="5" fillId="0" borderId="0" xfId="13" applyFont="1" applyAlignment="1">
      <alignment wrapText="1"/>
    </xf>
    <xf numFmtId="1" fontId="6" fillId="0" borderId="0" xfId="13" applyNumberFormat="1" applyFont="1"/>
    <xf numFmtId="165" fontId="6" fillId="0" borderId="0" xfId="13" applyNumberFormat="1" applyFont="1"/>
    <xf numFmtId="0" fontId="6" fillId="0" borderId="0" xfId="13" applyFont="1" applyAlignment="1">
      <alignment horizontal="left"/>
    </xf>
    <xf numFmtId="0" fontId="27" fillId="0" borderId="0" xfId="13" applyFont="1"/>
    <xf numFmtId="1" fontId="27" fillId="0" borderId="0" xfId="13" applyNumberFormat="1" applyFont="1"/>
    <xf numFmtId="164" fontId="27" fillId="0" borderId="0" xfId="13" applyNumberFormat="1" applyFont="1"/>
    <xf numFmtId="165" fontId="27" fillId="0" borderId="0" xfId="13" applyNumberFormat="1" applyFont="1"/>
    <xf numFmtId="0" fontId="20" fillId="0" borderId="0" xfId="3" applyFont="1" applyBorder="1" applyAlignment="1" applyProtection="1">
      <alignment vertical="top" wrapText="1"/>
    </xf>
    <xf numFmtId="0" fontId="8" fillId="0" borderId="35" xfId="13" applyFont="1" applyFill="1" applyBorder="1"/>
    <xf numFmtId="167" fontId="8" fillId="0" borderId="6" xfId="13" applyNumberFormat="1" applyFont="1" applyFill="1" applyBorder="1" applyAlignment="1">
      <alignment horizontal="center" vertical="top" wrapText="1"/>
    </xf>
    <xf numFmtId="167" fontId="8" fillId="0" borderId="9" xfId="13" applyNumberFormat="1" applyFont="1" applyFill="1" applyBorder="1" applyAlignment="1">
      <alignment horizontal="center" vertical="top" wrapText="1"/>
    </xf>
    <xf numFmtId="167" fontId="8" fillId="0" borderId="25" xfId="13" applyNumberFormat="1" applyFont="1" applyFill="1" applyBorder="1" applyAlignment="1">
      <alignment horizontal="center" vertical="top" wrapText="1"/>
    </xf>
    <xf numFmtId="167" fontId="8" fillId="0" borderId="30" xfId="13" applyNumberFormat="1" applyFont="1" applyFill="1" applyBorder="1" applyAlignment="1">
      <alignment horizontal="center" vertical="top" wrapText="1"/>
    </xf>
    <xf numFmtId="1" fontId="7" fillId="0" borderId="6" xfId="13" applyNumberFormat="1" applyFont="1" applyFill="1" applyBorder="1" applyAlignment="1">
      <alignment horizontal="center" vertical="top" wrapText="1"/>
    </xf>
    <xf numFmtId="166" fontId="8" fillId="0" borderId="36" xfId="13" applyNumberFormat="1" applyFont="1" applyFill="1" applyBorder="1" applyAlignment="1">
      <alignment horizontal="center" vertical="top" wrapText="1"/>
    </xf>
    <xf numFmtId="166" fontId="8" fillId="0" borderId="37" xfId="13" applyNumberFormat="1" applyFont="1" applyFill="1" applyBorder="1" applyAlignment="1">
      <alignment horizontal="center" vertical="top" wrapText="1"/>
    </xf>
    <xf numFmtId="166" fontId="8" fillId="0" borderId="30" xfId="13" applyNumberFormat="1" applyFont="1" applyFill="1" applyBorder="1" applyAlignment="1">
      <alignment horizontal="center" vertical="top" wrapText="1"/>
    </xf>
    <xf numFmtId="166" fontId="8" fillId="0" borderId="17" xfId="13" applyNumberFormat="1" applyFont="1" applyFill="1" applyBorder="1" applyAlignment="1">
      <alignment horizontal="center" vertical="top" wrapText="1"/>
    </xf>
    <xf numFmtId="166" fontId="8" fillId="0" borderId="7" xfId="13" applyNumberFormat="1" applyFont="1" applyFill="1" applyBorder="1" applyAlignment="1">
      <alignment horizontal="center" vertical="top" wrapText="1"/>
    </xf>
    <xf numFmtId="1" fontId="7" fillId="0" borderId="27" xfId="13" applyNumberFormat="1" applyFont="1" applyFill="1" applyBorder="1" applyAlignment="1">
      <alignment horizontal="center" vertical="top" wrapText="1"/>
    </xf>
    <xf numFmtId="1" fontId="7" fillId="0" borderId="24" xfId="13" applyNumberFormat="1" applyFont="1" applyFill="1" applyBorder="1" applyAlignment="1">
      <alignment horizontal="center" vertical="top" wrapText="1"/>
    </xf>
    <xf numFmtId="1" fontId="7" fillId="0" borderId="31" xfId="13" applyNumberFormat="1" applyFont="1" applyFill="1" applyBorder="1" applyAlignment="1">
      <alignment horizontal="center" vertical="top" wrapText="1"/>
    </xf>
    <xf numFmtId="167" fontId="8" fillId="0" borderId="3" xfId="13" applyNumberFormat="1" applyFont="1" applyBorder="1" applyAlignment="1">
      <alignment horizontal="center" vertical="top" wrapText="1"/>
    </xf>
    <xf numFmtId="167" fontId="8" fillId="0" borderId="4" xfId="13" applyNumberFormat="1" applyFont="1" applyBorder="1" applyAlignment="1">
      <alignment horizontal="center" vertical="top" wrapText="1"/>
    </xf>
    <xf numFmtId="167" fontId="8" fillId="0" borderId="6" xfId="13" applyNumberFormat="1" applyFont="1" applyBorder="1" applyAlignment="1">
      <alignment horizontal="center" vertical="top" wrapText="1"/>
    </xf>
    <xf numFmtId="167" fontId="8" fillId="0" borderId="7" xfId="13" applyNumberFormat="1" applyFont="1" applyBorder="1" applyAlignment="1">
      <alignment horizontal="center" vertical="top" wrapText="1"/>
    </xf>
    <xf numFmtId="167" fontId="8" fillId="0" borderId="9" xfId="13" applyNumberFormat="1" applyFont="1" applyBorder="1" applyAlignment="1">
      <alignment horizontal="center" vertical="top" wrapText="1"/>
    </xf>
    <xf numFmtId="167" fontId="8" fillId="0" borderId="10" xfId="13" applyNumberFormat="1" applyFont="1" applyBorder="1" applyAlignment="1">
      <alignment horizontal="center" vertical="top" wrapText="1"/>
    </xf>
    <xf numFmtId="167" fontId="8" fillId="0" borderId="25" xfId="13" applyNumberFormat="1" applyFont="1" applyBorder="1" applyAlignment="1">
      <alignment horizontal="center" vertical="top" wrapText="1"/>
    </xf>
    <xf numFmtId="167" fontId="8" fillId="0" borderId="26" xfId="13" applyNumberFormat="1" applyFont="1" applyBorder="1" applyAlignment="1">
      <alignment horizontal="center" vertical="top" wrapText="1"/>
    </xf>
    <xf numFmtId="167" fontId="8" fillId="0" borderId="18" xfId="13" applyNumberFormat="1" applyFont="1" applyBorder="1" applyAlignment="1">
      <alignment horizontal="center" vertical="top" wrapText="1"/>
    </xf>
    <xf numFmtId="167" fontId="8" fillId="0" borderId="37" xfId="13" applyNumberFormat="1" applyFont="1" applyBorder="1" applyAlignment="1">
      <alignment horizontal="center" vertical="top" wrapText="1"/>
    </xf>
    <xf numFmtId="167" fontId="8" fillId="0" borderId="17" xfId="13" applyNumberFormat="1" applyFont="1" applyBorder="1" applyAlignment="1">
      <alignment horizontal="center" vertical="top" wrapText="1"/>
    </xf>
    <xf numFmtId="167" fontId="8" fillId="0" borderId="13" xfId="13" applyNumberFormat="1" applyFont="1" applyBorder="1" applyAlignment="1">
      <alignment horizontal="center" vertical="top" wrapText="1"/>
    </xf>
    <xf numFmtId="167" fontId="8" fillId="0" borderId="22" xfId="13" applyNumberFormat="1" applyFont="1" applyBorder="1" applyAlignment="1">
      <alignment horizontal="center" vertical="top" wrapText="1"/>
    </xf>
    <xf numFmtId="167" fontId="8" fillId="0" borderId="23" xfId="13" applyNumberFormat="1" applyFont="1" applyBorder="1" applyAlignment="1">
      <alignment horizontal="center" vertical="top" wrapText="1"/>
    </xf>
    <xf numFmtId="167" fontId="8" fillId="0" borderId="8" xfId="13" applyNumberFormat="1" applyFont="1" applyBorder="1" applyAlignment="1">
      <alignment horizontal="center" vertical="top" wrapText="1"/>
    </xf>
    <xf numFmtId="167" fontId="8" fillId="0" borderId="38" xfId="13" applyNumberFormat="1" applyFont="1" applyBorder="1" applyAlignment="1">
      <alignment horizontal="center" vertical="top" wrapText="1"/>
    </xf>
    <xf numFmtId="167" fontId="8" fillId="0" borderId="12" xfId="13" applyNumberFormat="1" applyFont="1" applyBorder="1" applyAlignment="1">
      <alignment horizontal="center" vertical="top" wrapText="1"/>
    </xf>
    <xf numFmtId="1" fontId="7" fillId="0" borderId="27" xfId="13" applyNumberFormat="1" applyFont="1" applyBorder="1" applyAlignment="1">
      <alignment horizontal="center" vertical="top" wrapText="1"/>
    </xf>
    <xf numFmtId="1" fontId="7" fillId="0" borderId="31" xfId="13" applyNumberFormat="1" applyFont="1" applyBorder="1" applyAlignment="1">
      <alignment horizontal="center" vertical="top" wrapText="1"/>
    </xf>
    <xf numFmtId="167" fontId="8" fillId="0" borderId="30" xfId="13" applyNumberFormat="1" applyFont="1" applyBorder="1" applyAlignment="1">
      <alignment horizontal="center" vertical="top" wrapText="1"/>
    </xf>
    <xf numFmtId="1" fontId="7" fillId="0" borderId="32" xfId="13" applyNumberFormat="1" applyFont="1" applyBorder="1" applyAlignment="1">
      <alignment horizontal="center" vertical="top" wrapText="1"/>
    </xf>
    <xf numFmtId="167" fontId="8" fillId="0" borderId="36" xfId="13" applyNumberFormat="1" applyFont="1" applyBorder="1" applyAlignment="1">
      <alignment horizontal="center" vertical="top" wrapText="1"/>
    </xf>
    <xf numFmtId="167" fontId="8" fillId="0" borderId="34" xfId="13" applyNumberFormat="1" applyFont="1" applyBorder="1" applyAlignment="1">
      <alignment horizontal="center" vertical="top" wrapText="1"/>
    </xf>
    <xf numFmtId="1" fontId="7" fillId="0" borderId="1" xfId="13" applyNumberFormat="1" applyFont="1" applyBorder="1" applyAlignment="1">
      <alignment horizontal="center" vertical="top" wrapText="1"/>
    </xf>
    <xf numFmtId="0" fontId="8" fillId="0" borderId="5" xfId="13" applyFont="1" applyFill="1" applyBorder="1" applyAlignment="1">
      <alignment horizontal="center" vertical="top" wrapText="1"/>
    </xf>
    <xf numFmtId="0" fontId="8" fillId="0" borderId="6" xfId="13" applyFont="1" applyFill="1" applyBorder="1" applyAlignment="1">
      <alignment horizontal="center" vertical="top" wrapText="1"/>
    </xf>
    <xf numFmtId="0" fontId="7" fillId="0" borderId="30" xfId="13" applyFont="1" applyFill="1" applyBorder="1" applyAlignment="1">
      <alignment horizontal="center" vertical="top" wrapText="1"/>
    </xf>
    <xf numFmtId="2" fontId="25" fillId="0" borderId="6" xfId="13" applyNumberFormat="1" applyFont="1" applyFill="1" applyBorder="1" applyAlignment="1">
      <alignment horizontal="center" vertical="top" wrapText="1"/>
    </xf>
    <xf numFmtId="0" fontId="23" fillId="3" borderId="15" xfId="6" applyFont="1" applyFill="1" applyBorder="1" applyAlignment="1">
      <alignment horizontal="center" vertical="center"/>
    </xf>
    <xf numFmtId="0" fontId="23" fillId="3" borderId="24" xfId="6" applyFont="1" applyFill="1" applyBorder="1" applyAlignment="1">
      <alignment horizontal="center" vertical="center"/>
    </xf>
    <xf numFmtId="0" fontId="8" fillId="0" borderId="7" xfId="13" applyFont="1" applyFill="1" applyBorder="1" applyAlignment="1">
      <alignment horizontal="center" vertical="top" wrapText="1"/>
    </xf>
    <xf numFmtId="49" fontId="8" fillId="0" borderId="27" xfId="13" applyNumberFormat="1" applyFont="1" applyBorder="1" applyAlignment="1">
      <alignment horizontal="center" vertical="top" wrapText="1"/>
    </xf>
    <xf numFmtId="49" fontId="8" fillId="0" borderId="31" xfId="13" applyNumberFormat="1" applyFont="1" applyBorder="1" applyAlignment="1">
      <alignment horizontal="center" vertical="top" wrapText="1"/>
    </xf>
    <xf numFmtId="49" fontId="8" fillId="0" borderId="29" xfId="13" applyNumberFormat="1" applyFont="1" applyBorder="1" applyAlignment="1">
      <alignment horizontal="center" vertical="top" wrapText="1"/>
    </xf>
    <xf numFmtId="49" fontId="8" fillId="0" borderId="14" xfId="13" applyNumberFormat="1" applyFont="1" applyBorder="1" applyAlignment="1">
      <alignment horizontal="center" vertical="top" wrapText="1"/>
    </xf>
    <xf numFmtId="49" fontId="8" fillId="0" borderId="32" xfId="13" applyNumberFormat="1" applyFont="1" applyBorder="1" applyAlignment="1">
      <alignment horizontal="center" vertical="top" wrapText="1"/>
    </xf>
    <xf numFmtId="49" fontId="8" fillId="0" borderId="16" xfId="13" applyNumberFormat="1" applyFont="1" applyBorder="1" applyAlignment="1">
      <alignment horizontal="center" vertical="top" wrapText="1"/>
    </xf>
    <xf numFmtId="49" fontId="8" fillId="0" borderId="39" xfId="13" applyNumberFormat="1" applyFont="1" applyBorder="1" applyAlignment="1">
      <alignment horizontal="center" vertical="top" wrapText="1"/>
    </xf>
    <xf numFmtId="49" fontId="8" fillId="0" borderId="5" xfId="13" applyNumberFormat="1" applyFont="1" applyBorder="1" applyAlignment="1">
      <alignment horizontal="center" vertical="top" wrapText="1"/>
    </xf>
    <xf numFmtId="49" fontId="8" fillId="0" borderId="40" xfId="13" applyNumberFormat="1" applyFont="1" applyBorder="1" applyAlignment="1">
      <alignment horizontal="center" vertical="top" wrapText="1"/>
    </xf>
    <xf numFmtId="49" fontId="8" fillId="3" borderId="24" xfId="13" applyNumberFormat="1" applyFont="1" applyFill="1" applyBorder="1" applyAlignment="1">
      <alignment horizontal="center" vertical="top" wrapText="1"/>
    </xf>
    <xf numFmtId="167" fontId="8" fillId="0" borderId="41" xfId="13" applyNumberFormat="1" applyFont="1" applyFill="1" applyBorder="1" applyAlignment="1">
      <alignment horizontal="center" vertical="top" wrapText="1"/>
    </xf>
    <xf numFmtId="1" fontId="7" fillId="0" borderId="42" xfId="13" applyNumberFormat="1" applyFont="1" applyFill="1" applyBorder="1" applyAlignment="1">
      <alignment horizontal="center" vertical="top" wrapText="1"/>
    </xf>
    <xf numFmtId="1" fontId="8" fillId="0" borderId="42" xfId="13" applyNumberFormat="1" applyFont="1" applyFill="1" applyBorder="1" applyAlignment="1">
      <alignment horizontal="center" vertical="top" wrapText="1"/>
    </xf>
    <xf numFmtId="167" fontId="8" fillId="0" borderId="44" xfId="13" applyNumberFormat="1" applyFont="1" applyFill="1" applyBorder="1" applyAlignment="1">
      <alignment horizontal="center" vertical="top" wrapText="1"/>
    </xf>
    <xf numFmtId="1" fontId="7" fillId="0" borderId="25" xfId="13" applyNumberFormat="1" applyFont="1" applyFill="1" applyBorder="1" applyAlignment="1">
      <alignment horizontal="center" vertical="top" wrapText="1"/>
    </xf>
    <xf numFmtId="166" fontId="8" fillId="0" borderId="13" xfId="13" applyNumberFormat="1" applyFont="1" applyFill="1" applyBorder="1" applyAlignment="1">
      <alignment horizontal="center" vertical="top" wrapText="1"/>
    </xf>
    <xf numFmtId="167" fontId="8" fillId="0" borderId="22" xfId="13" applyNumberFormat="1" applyFont="1" applyFill="1" applyBorder="1" applyAlignment="1">
      <alignment horizontal="center" vertical="top" wrapText="1"/>
    </xf>
    <xf numFmtId="167" fontId="8" fillId="0" borderId="23" xfId="13" applyNumberFormat="1" applyFont="1" applyFill="1" applyBorder="1" applyAlignment="1">
      <alignment horizontal="center" vertical="top" wrapText="1"/>
    </xf>
    <xf numFmtId="167" fontId="8" fillId="0" borderId="4" xfId="13" applyNumberFormat="1" applyFont="1" applyFill="1" applyBorder="1" applyAlignment="1">
      <alignment horizontal="center" vertical="top" wrapText="1"/>
    </xf>
    <xf numFmtId="167" fontId="8" fillId="0" borderId="2" xfId="13" applyNumberFormat="1" applyFont="1" applyFill="1" applyBorder="1" applyAlignment="1">
      <alignment horizontal="center" vertical="top" wrapText="1"/>
    </xf>
    <xf numFmtId="167" fontId="8" fillId="0" borderId="19" xfId="13" applyNumberFormat="1" applyFont="1" applyFill="1" applyBorder="1" applyAlignment="1">
      <alignment horizontal="center" vertical="top" wrapText="1"/>
    </xf>
    <xf numFmtId="167" fontId="8" fillId="0" borderId="5" xfId="13" applyNumberFormat="1" applyFont="1" applyFill="1" applyBorder="1" applyAlignment="1">
      <alignment horizontal="center" vertical="top" wrapText="1"/>
    </xf>
    <xf numFmtId="0" fontId="4" fillId="0" borderId="0" xfId="13" applyFont="1" applyAlignment="1">
      <alignment horizontal="left" indent="2"/>
    </xf>
    <xf numFmtId="0" fontId="4" fillId="0" borderId="0" xfId="13" applyFont="1"/>
    <xf numFmtId="1" fontId="4" fillId="0" borderId="0" xfId="13" applyNumberFormat="1" applyFont="1"/>
    <xf numFmtId="164" fontId="4" fillId="0" borderId="0" xfId="13" applyNumberFormat="1" applyFont="1"/>
    <xf numFmtId="165" fontId="4" fillId="0" borderId="0" xfId="13" applyNumberFormat="1" applyFont="1"/>
    <xf numFmtId="0" fontId="8" fillId="0" borderId="45" xfId="13" applyFont="1" applyBorder="1" applyAlignment="1">
      <alignment horizontal="center" vertical="top" wrapText="1"/>
    </xf>
    <xf numFmtId="0" fontId="7" fillId="0" borderId="14" xfId="13" applyFont="1" applyFill="1" applyBorder="1" applyAlignment="1">
      <alignment horizontal="center" vertical="top" wrapText="1"/>
    </xf>
    <xf numFmtId="0" fontId="7" fillId="0" borderId="17" xfId="13" applyFont="1" applyFill="1" applyBorder="1" applyAlignment="1">
      <alignment horizontal="center" vertical="top" wrapText="1"/>
    </xf>
    <xf numFmtId="0" fontId="8" fillId="0" borderId="8" xfId="13" applyFont="1" applyFill="1" applyBorder="1" applyAlignment="1">
      <alignment horizontal="center" vertical="top" wrapText="1"/>
    </xf>
    <xf numFmtId="0" fontId="8" fillId="0" borderId="9" xfId="13" applyFont="1" applyFill="1" applyBorder="1" applyAlignment="1">
      <alignment horizontal="center" vertical="top" wrapText="1"/>
    </xf>
    <xf numFmtId="0" fontId="8" fillId="0" borderId="10" xfId="13" applyFont="1" applyFill="1" applyBorder="1" applyAlignment="1">
      <alignment horizontal="center" vertical="top" wrapText="1"/>
    </xf>
    <xf numFmtId="167" fontId="8" fillId="0" borderId="46" xfId="13" applyNumberFormat="1" applyFont="1" applyFill="1" applyBorder="1" applyAlignment="1">
      <alignment horizontal="center" vertical="top" wrapText="1"/>
    </xf>
    <xf numFmtId="0" fontId="8" fillId="0" borderId="21" xfId="13" applyFont="1" applyBorder="1" applyAlignment="1">
      <alignment horizontal="center" vertical="top" wrapText="1"/>
    </xf>
    <xf numFmtId="0" fontId="8" fillId="0" borderId="47" xfId="13" applyFont="1" applyBorder="1" applyAlignment="1">
      <alignment horizontal="center" vertical="top" wrapText="1"/>
    </xf>
    <xf numFmtId="0" fontId="8" fillId="0" borderId="48" xfId="13" applyFont="1" applyBorder="1" applyAlignment="1">
      <alignment horizontal="center" vertical="top" wrapText="1"/>
    </xf>
    <xf numFmtId="0" fontId="8" fillId="0" borderId="49" xfId="13" applyFont="1" applyBorder="1" applyAlignment="1">
      <alignment horizontal="center" vertical="top" wrapText="1"/>
    </xf>
    <xf numFmtId="166" fontId="8" fillId="0" borderId="10" xfId="13" applyNumberFormat="1" applyFont="1" applyFill="1" applyBorder="1" applyAlignment="1">
      <alignment horizontal="center" vertical="top" wrapText="1"/>
    </xf>
    <xf numFmtId="0" fontId="8" fillId="0" borderId="44" xfId="13" applyFont="1" applyFill="1" applyBorder="1" applyAlignment="1">
      <alignment horizontal="center" vertical="top" wrapText="1"/>
    </xf>
    <xf numFmtId="0" fontId="8" fillId="0" borderId="3" xfId="13" applyFont="1" applyFill="1" applyBorder="1" applyAlignment="1">
      <alignment horizontal="center" vertical="top" wrapText="1"/>
    </xf>
    <xf numFmtId="0" fontId="8" fillId="0" borderId="4" xfId="13" applyFont="1" applyFill="1" applyBorder="1" applyAlignment="1">
      <alignment horizontal="center" vertical="top" wrapText="1"/>
    </xf>
    <xf numFmtId="0" fontId="8" fillId="0" borderId="2" xfId="13" applyFont="1" applyFill="1" applyBorder="1" applyAlignment="1">
      <alignment horizontal="center" vertical="top" wrapText="1"/>
    </xf>
    <xf numFmtId="49" fontId="8" fillId="0" borderId="47" xfId="13" applyNumberFormat="1" applyFont="1" applyFill="1" applyBorder="1" applyAlignment="1">
      <alignment horizontal="center" vertical="top" wrapText="1"/>
    </xf>
    <xf numFmtId="49" fontId="8" fillId="0" borderId="48" xfId="13" applyNumberFormat="1" applyFont="1" applyFill="1" applyBorder="1" applyAlignment="1">
      <alignment horizontal="center" vertical="top" wrapText="1"/>
    </xf>
    <xf numFmtId="167" fontId="8" fillId="0" borderId="18" xfId="13" applyNumberFormat="1" applyFont="1" applyFill="1" applyBorder="1" applyAlignment="1">
      <alignment horizontal="center" vertical="top" wrapText="1"/>
    </xf>
    <xf numFmtId="0" fontId="7" fillId="0" borderId="37" xfId="13" applyFont="1" applyFill="1" applyBorder="1" applyAlignment="1">
      <alignment horizontal="center" vertical="top" wrapText="1"/>
    </xf>
    <xf numFmtId="49" fontId="8" fillId="0" borderId="49" xfId="13" applyNumberFormat="1" applyFont="1" applyFill="1" applyBorder="1" applyAlignment="1">
      <alignment horizontal="center" vertical="top" wrapText="1"/>
    </xf>
    <xf numFmtId="0" fontId="7" fillId="0" borderId="9" xfId="13" applyFont="1" applyFill="1" applyBorder="1" applyAlignment="1">
      <alignment horizontal="center" vertical="top" wrapText="1"/>
    </xf>
    <xf numFmtId="0" fontId="7" fillId="0" borderId="25" xfId="13" applyFont="1" applyFill="1" applyBorder="1" applyAlignment="1">
      <alignment horizontal="center" vertical="top" wrapText="1"/>
    </xf>
    <xf numFmtId="167" fontId="8" fillId="0" borderId="8" xfId="13" applyNumberFormat="1" applyFont="1" applyFill="1" applyBorder="1" applyAlignment="1">
      <alignment horizontal="center" vertical="top" wrapText="1"/>
    </xf>
    <xf numFmtId="164" fontId="8" fillId="0" borderId="0" xfId="13" applyNumberFormat="1" applyFont="1" applyFill="1"/>
    <xf numFmtId="1" fontId="7" fillId="0" borderId="9" xfId="13" applyNumberFormat="1" applyFont="1" applyFill="1" applyBorder="1" applyAlignment="1">
      <alignment horizontal="center" vertical="top" wrapText="1"/>
    </xf>
    <xf numFmtId="0" fontId="7" fillId="0" borderId="24" xfId="13" applyFont="1" applyFill="1" applyBorder="1" applyAlignment="1">
      <alignment horizontal="center" vertical="top" wrapText="1"/>
    </xf>
    <xf numFmtId="49" fontId="8" fillId="0" borderId="24" xfId="13" applyNumberFormat="1" applyFont="1" applyFill="1" applyBorder="1" applyAlignment="1">
      <alignment horizontal="center" vertical="top" wrapText="1"/>
    </xf>
    <xf numFmtId="167" fontId="8" fillId="0" borderId="37" xfId="13" applyNumberFormat="1" applyFont="1" applyFill="1" applyBorder="1" applyAlignment="1">
      <alignment horizontal="center" vertical="top" wrapText="1"/>
    </xf>
    <xf numFmtId="164" fontId="8" fillId="0" borderId="7" xfId="13" applyNumberFormat="1" applyFont="1" applyFill="1" applyBorder="1" applyAlignment="1">
      <alignment horizontal="center" vertical="top" wrapText="1"/>
    </xf>
    <xf numFmtId="2" fontId="25" fillId="0" borderId="7" xfId="13" applyNumberFormat="1" applyFont="1" applyFill="1" applyBorder="1" applyAlignment="1">
      <alignment horizontal="center" vertical="top" wrapText="1"/>
    </xf>
    <xf numFmtId="0" fontId="8" fillId="0" borderId="19" xfId="13" applyFont="1" applyFill="1" applyBorder="1" applyAlignment="1">
      <alignment horizontal="center" vertical="top" wrapText="1"/>
    </xf>
    <xf numFmtId="0" fontId="8" fillId="0" borderId="43" xfId="13" applyFont="1" applyFill="1" applyBorder="1" applyAlignment="1">
      <alignment horizontal="center" vertical="top" wrapText="1"/>
    </xf>
    <xf numFmtId="0" fontId="8" fillId="0" borderId="18" xfId="13" applyFont="1" applyFill="1" applyBorder="1" applyAlignment="1">
      <alignment horizontal="center" vertical="top" wrapText="1"/>
    </xf>
    <xf numFmtId="0" fontId="7" fillId="0" borderId="11" xfId="13" applyFont="1" applyFill="1" applyBorder="1" applyAlignment="1">
      <alignment horizontal="center" vertical="top" wrapText="1"/>
    </xf>
    <xf numFmtId="0" fontId="7" fillId="0" borderId="52" xfId="13" applyFont="1" applyFill="1" applyBorder="1" applyAlignment="1">
      <alignment horizontal="center" vertical="top" wrapText="1"/>
    </xf>
    <xf numFmtId="49" fontId="8" fillId="0" borderId="52" xfId="13" applyNumberFormat="1" applyFont="1" applyFill="1" applyBorder="1" applyAlignment="1">
      <alignment horizontal="center" vertical="top" wrapText="1"/>
    </xf>
    <xf numFmtId="1" fontId="8" fillId="0" borderId="19" xfId="13" applyNumberFormat="1" applyFont="1" applyFill="1" applyBorder="1" applyAlignment="1">
      <alignment horizontal="center" vertical="top" wrapText="1"/>
    </xf>
    <xf numFmtId="167" fontId="8" fillId="0" borderId="43" xfId="13" applyNumberFormat="1" applyFont="1" applyFill="1" applyBorder="1" applyAlignment="1">
      <alignment horizontal="center" vertical="top" wrapText="1"/>
    </xf>
    <xf numFmtId="2" fontId="25" fillId="0" borderId="18" xfId="13" applyNumberFormat="1" applyFont="1" applyFill="1" applyBorder="1" applyAlignment="1">
      <alignment horizontal="center" vertical="top" wrapText="1"/>
    </xf>
    <xf numFmtId="0" fontId="7" fillId="0" borderId="53" xfId="13" applyFont="1" applyFill="1" applyBorder="1" applyAlignment="1">
      <alignment horizontal="center" vertical="top" wrapText="1"/>
    </xf>
    <xf numFmtId="0" fontId="7" fillId="0" borderId="27" xfId="13" applyFont="1" applyFill="1" applyBorder="1" applyAlignment="1">
      <alignment horizontal="center" vertical="top" wrapText="1"/>
    </xf>
    <xf numFmtId="49" fontId="8" fillId="0" borderId="14" xfId="13" applyNumberFormat="1" applyFont="1" applyFill="1" applyBorder="1" applyAlignment="1">
      <alignment horizontal="center" vertical="top" wrapText="1"/>
    </xf>
    <xf numFmtId="1" fontId="7" fillId="0" borderId="11" xfId="13" applyNumberFormat="1" applyFont="1" applyFill="1" applyBorder="1" applyAlignment="1">
      <alignment horizontal="center" vertical="top" wrapText="1"/>
    </xf>
    <xf numFmtId="1" fontId="8" fillId="0" borderId="54" xfId="13" applyNumberFormat="1" applyFont="1" applyFill="1" applyBorder="1" applyAlignment="1">
      <alignment horizontal="center" vertical="top" wrapText="1"/>
    </xf>
    <xf numFmtId="167" fontId="8" fillId="0" borderId="55" xfId="13" applyNumberFormat="1" applyFont="1" applyFill="1" applyBorder="1" applyAlignment="1">
      <alignment horizontal="center" vertical="top" wrapText="1"/>
    </xf>
    <xf numFmtId="167" fontId="8" fillId="0" borderId="56" xfId="13" applyNumberFormat="1" applyFont="1" applyFill="1" applyBorder="1" applyAlignment="1">
      <alignment horizontal="center" vertical="top" wrapText="1"/>
    </xf>
    <xf numFmtId="1" fontId="8" fillId="0" borderId="57" xfId="13" applyNumberFormat="1" applyFont="1" applyFill="1" applyBorder="1" applyAlignment="1">
      <alignment horizontal="center" vertical="top" wrapText="1"/>
    </xf>
    <xf numFmtId="164" fontId="8" fillId="0" borderId="56" xfId="13" applyNumberFormat="1" applyFont="1" applyFill="1" applyBorder="1" applyAlignment="1">
      <alignment horizontal="center" vertical="top" wrapText="1"/>
    </xf>
    <xf numFmtId="2" fontId="25" fillId="0" borderId="56" xfId="13" applyNumberFormat="1" applyFont="1" applyFill="1" applyBorder="1" applyAlignment="1">
      <alignment horizontal="center" vertical="top" wrapText="1"/>
    </xf>
    <xf numFmtId="0" fontId="8" fillId="0" borderId="25" xfId="13" applyFont="1" applyFill="1" applyBorder="1" applyAlignment="1">
      <alignment horizontal="center" vertical="top" wrapText="1"/>
    </xf>
    <xf numFmtId="0" fontId="8" fillId="0" borderId="13" xfId="13" applyFont="1" applyFill="1" applyBorder="1" applyAlignment="1">
      <alignment horizontal="center" vertical="top" wrapText="1"/>
    </xf>
    <xf numFmtId="0" fontId="7" fillId="0" borderId="28" xfId="13" applyFont="1" applyFill="1" applyBorder="1" applyAlignment="1">
      <alignment horizontal="center" vertical="top" wrapText="1"/>
    </xf>
    <xf numFmtId="49" fontId="8" fillId="0" borderId="15" xfId="13" applyNumberFormat="1" applyFont="1" applyFill="1" applyBorder="1" applyAlignment="1">
      <alignment horizontal="center" vertical="top" wrapText="1"/>
    </xf>
    <xf numFmtId="1" fontId="7" fillId="0" borderId="38" xfId="13" applyNumberFormat="1" applyFont="1" applyFill="1" applyBorder="1" applyAlignment="1">
      <alignment horizontal="center" vertical="top" wrapText="1"/>
    </xf>
    <xf numFmtId="0" fontId="8" fillId="0" borderId="46" xfId="13" applyFont="1" applyFill="1" applyBorder="1" applyAlignment="1">
      <alignment horizontal="center" vertical="top" wrapText="1"/>
    </xf>
    <xf numFmtId="0" fontId="8" fillId="0" borderId="58" xfId="13" applyFont="1" applyFill="1" applyBorder="1" applyAlignment="1">
      <alignment horizontal="center" vertical="top" wrapText="1"/>
    </xf>
    <xf numFmtId="0" fontId="8" fillId="0" borderId="59" xfId="13" applyFont="1" applyFill="1" applyBorder="1" applyAlignment="1">
      <alignment horizontal="center" vertical="top" wrapText="1"/>
    </xf>
    <xf numFmtId="0" fontId="7" fillId="0" borderId="33" xfId="13" applyFont="1" applyFill="1" applyBorder="1" applyAlignment="1">
      <alignment horizontal="center" vertical="top" wrapText="1"/>
    </xf>
    <xf numFmtId="49" fontId="8" fillId="0" borderId="16" xfId="13" applyNumberFormat="1" applyFont="1" applyFill="1" applyBorder="1" applyAlignment="1">
      <alignment horizontal="center" vertical="top" wrapText="1"/>
    </xf>
    <xf numFmtId="1" fontId="7" fillId="0" borderId="60" xfId="13" applyNumberFormat="1" applyFont="1" applyFill="1" applyBorder="1" applyAlignment="1">
      <alignment horizontal="center" vertical="top" wrapText="1"/>
    </xf>
    <xf numFmtId="1" fontId="8" fillId="0" borderId="46" xfId="13" applyNumberFormat="1" applyFont="1" applyFill="1" applyBorder="1" applyAlignment="1">
      <alignment horizontal="center" vertical="top" wrapText="1"/>
    </xf>
    <xf numFmtId="167" fontId="8" fillId="0" borderId="58" xfId="13" applyNumberFormat="1" applyFont="1" applyFill="1" applyBorder="1" applyAlignment="1">
      <alignment horizontal="center" vertical="top" wrapText="1"/>
    </xf>
    <xf numFmtId="167" fontId="8" fillId="0" borderId="59" xfId="13" applyNumberFormat="1" applyFont="1" applyFill="1" applyBorder="1" applyAlignment="1">
      <alignment horizontal="center" vertical="top" wrapText="1"/>
    </xf>
    <xf numFmtId="1" fontId="8" fillId="0" borderId="61" xfId="13" applyNumberFormat="1" applyFont="1" applyFill="1" applyBorder="1" applyAlignment="1">
      <alignment horizontal="center" vertical="top" wrapText="1"/>
    </xf>
    <xf numFmtId="164" fontId="8" fillId="0" borderId="59" xfId="13" applyNumberFormat="1" applyFont="1" applyFill="1" applyBorder="1" applyAlignment="1">
      <alignment horizontal="center" vertical="top" wrapText="1"/>
    </xf>
    <xf numFmtId="2" fontId="8" fillId="0" borderId="61" xfId="13" applyNumberFormat="1" applyFont="1" applyFill="1" applyBorder="1" applyAlignment="1">
      <alignment horizontal="center" vertical="top" wrapText="1"/>
    </xf>
    <xf numFmtId="1" fontId="7" fillId="0" borderId="58" xfId="13" applyNumberFormat="1" applyFont="1" applyFill="1" applyBorder="1" applyAlignment="1">
      <alignment horizontal="center" vertical="top" wrapText="1"/>
    </xf>
    <xf numFmtId="2" fontId="25" fillId="0" borderId="59" xfId="13" applyNumberFormat="1" applyFont="1" applyFill="1" applyBorder="1" applyAlignment="1">
      <alignment horizontal="center" vertical="top" wrapText="1"/>
    </xf>
    <xf numFmtId="1" fontId="8" fillId="0" borderId="8" xfId="13" applyNumberFormat="1" applyFont="1" applyFill="1" applyBorder="1" applyAlignment="1">
      <alignment horizontal="center" vertical="top" wrapText="1"/>
    </xf>
    <xf numFmtId="167" fontId="8" fillId="0" borderId="17" xfId="13" applyNumberFormat="1" applyFont="1" applyFill="1" applyBorder="1" applyAlignment="1">
      <alignment horizontal="center" vertical="top" wrapText="1"/>
    </xf>
    <xf numFmtId="164" fontId="8" fillId="0" borderId="10" xfId="13" applyNumberFormat="1" applyFont="1" applyFill="1" applyBorder="1" applyAlignment="1">
      <alignment horizontal="center" vertical="top" wrapText="1"/>
    </xf>
    <xf numFmtId="0" fontId="7" fillId="0" borderId="11" xfId="13" applyFont="1" applyFill="1" applyBorder="1" applyAlignment="1">
      <alignment horizontal="left" vertical="top" wrapText="1"/>
    </xf>
    <xf numFmtId="49" fontId="8" fillId="0" borderId="31" xfId="13" applyNumberFormat="1" applyFont="1" applyFill="1" applyBorder="1" applyAlignment="1">
      <alignment horizontal="center" vertical="top" wrapText="1"/>
    </xf>
    <xf numFmtId="1" fontId="8" fillId="0" borderId="2" xfId="13" applyNumberFormat="1" applyFont="1" applyFill="1" applyBorder="1" applyAlignment="1">
      <alignment horizontal="center" vertical="top" wrapText="1"/>
    </xf>
    <xf numFmtId="167" fontId="8" fillId="0" borderId="62" xfId="13" applyNumberFormat="1" applyFont="1" applyFill="1" applyBorder="1" applyAlignment="1">
      <alignment horizontal="center" vertical="top" wrapText="1"/>
    </xf>
    <xf numFmtId="2" fontId="25" fillId="0" borderId="4" xfId="13" applyNumberFormat="1" applyFont="1" applyFill="1" applyBorder="1" applyAlignment="1">
      <alignment horizontal="center" vertical="top" wrapText="1"/>
    </xf>
    <xf numFmtId="2" fontId="25" fillId="0" borderId="13" xfId="13" applyNumberFormat="1" applyFont="1" applyFill="1" applyBorder="1" applyAlignment="1">
      <alignment horizontal="center" vertical="top" wrapText="1"/>
    </xf>
    <xf numFmtId="2" fontId="25" fillId="0" borderId="26" xfId="13" applyNumberFormat="1" applyFont="1" applyFill="1" applyBorder="1" applyAlignment="1">
      <alignment horizontal="center" vertical="top" wrapText="1"/>
    </xf>
    <xf numFmtId="0" fontId="7" fillId="0" borderId="16" xfId="13" applyFont="1" applyFill="1" applyBorder="1" applyAlignment="1">
      <alignment horizontal="center" vertical="top" wrapText="1"/>
    </xf>
    <xf numFmtId="49" fontId="8" fillId="0" borderId="28" xfId="13" applyNumberFormat="1" applyFont="1" applyFill="1" applyBorder="1" applyAlignment="1">
      <alignment horizontal="center" vertical="top" wrapText="1"/>
    </xf>
    <xf numFmtId="2" fontId="25" fillId="0" borderId="10" xfId="13" applyNumberFormat="1" applyFont="1" applyFill="1" applyBorder="1" applyAlignment="1">
      <alignment horizontal="center" vertical="top" wrapText="1"/>
    </xf>
    <xf numFmtId="0" fontId="7" fillId="0" borderId="31" xfId="13" applyFont="1" applyFill="1" applyBorder="1" applyAlignment="1">
      <alignment horizontal="center" vertical="top" wrapText="1"/>
    </xf>
    <xf numFmtId="1" fontId="8" fillId="0" borderId="44" xfId="13" applyNumberFormat="1" applyFont="1" applyFill="1" applyBorder="1" applyAlignment="1">
      <alignment horizontal="center" vertical="top" wrapText="1"/>
    </xf>
    <xf numFmtId="164" fontId="8" fillId="0" borderId="4" xfId="13" applyNumberFormat="1" applyFont="1" applyFill="1" applyBorder="1" applyAlignment="1">
      <alignment horizontal="center" vertical="top" wrapText="1"/>
    </xf>
    <xf numFmtId="167" fontId="8" fillId="0" borderId="51" xfId="13" applyNumberFormat="1" applyFont="1" applyFill="1" applyBorder="1" applyAlignment="1">
      <alignment horizontal="center" vertical="top" wrapText="1"/>
    </xf>
    <xf numFmtId="167" fontId="8" fillId="0" borderId="3" xfId="13" applyNumberFormat="1" applyFont="1" applyFill="1" applyBorder="1" applyAlignment="1">
      <alignment horizontal="center" vertical="top" wrapText="1"/>
    </xf>
    <xf numFmtId="167" fontId="8" fillId="0" borderId="26" xfId="13" applyNumberFormat="1" applyFont="1" applyFill="1" applyBorder="1" applyAlignment="1">
      <alignment horizontal="center" vertical="top" wrapText="1"/>
    </xf>
    <xf numFmtId="167" fontId="8" fillId="0" borderId="47" xfId="13" applyNumberFormat="1" applyFont="1" applyFill="1" applyBorder="1" applyAlignment="1">
      <alignment horizontal="center" vertical="top" wrapText="1"/>
    </xf>
    <xf numFmtId="49" fontId="8" fillId="0" borderId="27" xfId="13" applyNumberFormat="1" applyFont="1" applyFill="1" applyBorder="1" applyAlignment="1">
      <alignment horizontal="center" vertical="top" wrapText="1"/>
    </xf>
    <xf numFmtId="167" fontId="8" fillId="0" borderId="36" xfId="13" applyNumberFormat="1" applyFont="1" applyFill="1" applyBorder="1" applyAlignment="1">
      <alignment horizontal="center" vertical="top" wrapText="1"/>
    </xf>
    <xf numFmtId="0" fontId="29" fillId="0" borderId="0" xfId="13" applyFont="1" applyBorder="1" applyAlignment="1">
      <alignment wrapText="1"/>
    </xf>
    <xf numFmtId="0" fontId="30" fillId="3" borderId="0" xfId="0" applyFont="1" applyFill="1" applyAlignment="1">
      <alignment horizontal="left" vertical="center"/>
    </xf>
    <xf numFmtId="0" fontId="31" fillId="3" borderId="0" xfId="0" applyFont="1" applyFill="1" applyAlignment="1">
      <alignment horizontal="left" vertical="center"/>
    </xf>
    <xf numFmtId="0" fontId="31" fillId="3" borderId="0" xfId="0" applyFont="1" applyFill="1" applyAlignment="1">
      <alignment horizontal="center" vertical="center"/>
    </xf>
    <xf numFmtId="0" fontId="31" fillId="3" borderId="0" xfId="0" applyFont="1" applyFill="1" applyAlignment="1">
      <alignment vertical="center"/>
    </xf>
    <xf numFmtId="0" fontId="29" fillId="0" borderId="0" xfId="13" applyFont="1"/>
    <xf numFmtId="0" fontId="32" fillId="3" borderId="0" xfId="0" applyFont="1" applyFill="1" applyAlignment="1">
      <alignment horizontal="left" vertical="center"/>
    </xf>
    <xf numFmtId="0" fontId="33" fillId="3" borderId="0" xfId="0" applyFont="1" applyFill="1" applyAlignment="1">
      <alignment vertical="center"/>
    </xf>
    <xf numFmtId="0" fontId="29" fillId="5" borderId="18" xfId="13" applyNumberFormat="1" applyFont="1" applyFill="1" applyBorder="1" applyAlignment="1">
      <alignment horizontal="center" vertical="center" wrapText="1"/>
    </xf>
    <xf numFmtId="0" fontId="29" fillId="5" borderId="50" xfId="13" applyNumberFormat="1" applyFont="1" applyFill="1" applyBorder="1" applyAlignment="1">
      <alignment horizontal="center" vertical="center" wrapText="1"/>
    </xf>
    <xf numFmtId="0" fontId="36" fillId="3" borderId="14" xfId="15" applyFont="1" applyFill="1" applyBorder="1" applyAlignment="1">
      <alignment horizontal="center" vertical="center" wrapText="1"/>
    </xf>
    <xf numFmtId="0" fontId="37" fillId="0" borderId="34" xfId="13" applyFont="1" applyBorder="1" applyAlignment="1">
      <alignment horizontal="center" vertical="center" wrapText="1"/>
    </xf>
    <xf numFmtId="0" fontId="37" fillId="0" borderId="3" xfId="13" applyFont="1" applyBorder="1" applyAlignment="1">
      <alignment horizontal="center" vertical="center" wrapText="1"/>
    </xf>
    <xf numFmtId="0" fontId="38" fillId="0" borderId="14" xfId="13" applyFont="1" applyBorder="1" applyAlignment="1">
      <alignment horizontal="center" vertical="center" wrapText="1"/>
    </xf>
    <xf numFmtId="1" fontId="37" fillId="0" borderId="2" xfId="13" applyNumberFormat="1" applyFont="1" applyBorder="1" applyAlignment="1">
      <alignment horizontal="center" vertical="center" wrapText="1"/>
    </xf>
    <xf numFmtId="164" fontId="37" fillId="0" borderId="4" xfId="13" applyNumberFormat="1" applyFont="1" applyBorder="1" applyAlignment="1">
      <alignment horizontal="center" vertical="center" wrapText="1"/>
    </xf>
    <xf numFmtId="164" fontId="37" fillId="0" borderId="36" xfId="13" applyNumberFormat="1" applyFont="1" applyBorder="1" applyAlignment="1">
      <alignment horizontal="center" vertical="center" wrapText="1"/>
    </xf>
    <xf numFmtId="2" fontId="37" fillId="0" borderId="2" xfId="13" applyNumberFormat="1" applyFont="1" applyBorder="1" applyAlignment="1">
      <alignment horizontal="center" vertical="center" wrapText="1"/>
    </xf>
    <xf numFmtId="1" fontId="39" fillId="0" borderId="6" xfId="13" applyNumberFormat="1" applyFont="1" applyBorder="1" applyAlignment="1">
      <alignment horizontal="center" vertical="center" wrapText="1"/>
    </xf>
    <xf numFmtId="0" fontId="29" fillId="0" borderId="52" xfId="0" applyFont="1" applyBorder="1" applyAlignment="1">
      <alignment vertical="top" wrapText="1"/>
    </xf>
    <xf numFmtId="0" fontId="36" fillId="3" borderId="15" xfId="15" applyFont="1" applyFill="1" applyBorder="1" applyAlignment="1">
      <alignment horizontal="center" vertical="center" wrapText="1"/>
    </xf>
    <xf numFmtId="0" fontId="37" fillId="0" borderId="22" xfId="13" applyFont="1" applyBorder="1" applyAlignment="1">
      <alignment horizontal="center" vertical="center" wrapText="1"/>
    </xf>
    <xf numFmtId="0" fontId="37" fillId="0" borderId="25" xfId="13" applyFont="1" applyBorder="1" applyAlignment="1">
      <alignment horizontal="center" vertical="center" wrapText="1"/>
    </xf>
    <xf numFmtId="0" fontId="38" fillId="0" borderId="15" xfId="13" applyFont="1" applyBorder="1" applyAlignment="1">
      <alignment horizontal="center" vertical="center" wrapText="1"/>
    </xf>
    <xf numFmtId="1" fontId="37" fillId="0" borderId="44" xfId="13" applyNumberFormat="1" applyFont="1" applyBorder="1" applyAlignment="1">
      <alignment horizontal="center" vertical="center" wrapText="1"/>
    </xf>
    <xf numFmtId="164" fontId="37" fillId="0" borderId="13" xfId="13" applyNumberFormat="1" applyFont="1" applyBorder="1" applyAlignment="1">
      <alignment horizontal="center" vertical="center" wrapText="1"/>
    </xf>
    <xf numFmtId="164" fontId="37" fillId="0" borderId="37" xfId="13" applyNumberFormat="1" applyFont="1" applyBorder="1" applyAlignment="1">
      <alignment horizontal="center" vertical="center" wrapText="1"/>
    </xf>
    <xf numFmtId="164" fontId="37" fillId="0" borderId="44" xfId="13" applyNumberFormat="1" applyFont="1" applyBorder="1" applyAlignment="1">
      <alignment horizontal="center" vertical="center" wrapText="1"/>
    </xf>
    <xf numFmtId="2" fontId="37" fillId="0" borderId="44" xfId="13" applyNumberFormat="1" applyFont="1" applyBorder="1" applyAlignment="1">
      <alignment horizontal="center" vertical="center" wrapText="1"/>
    </xf>
    <xf numFmtId="2" fontId="37" fillId="0" borderId="13" xfId="13" applyNumberFormat="1" applyFont="1" applyBorder="1" applyAlignment="1">
      <alignment horizontal="center" vertical="center" wrapText="1"/>
    </xf>
    <xf numFmtId="0" fontId="37" fillId="0" borderId="23" xfId="13" applyFont="1" applyBorder="1" applyAlignment="1">
      <alignment horizontal="center" vertical="center" wrapText="1"/>
    </xf>
    <xf numFmtId="0" fontId="37" fillId="0" borderId="6" xfId="13" applyFont="1" applyBorder="1" applyAlignment="1">
      <alignment horizontal="center" vertical="center" wrapText="1"/>
    </xf>
    <xf numFmtId="1" fontId="37" fillId="0" borderId="23" xfId="13" applyNumberFormat="1" applyFont="1" applyBorder="1" applyAlignment="1">
      <alignment horizontal="center" vertical="center" wrapText="1"/>
    </xf>
    <xf numFmtId="164" fontId="37" fillId="0" borderId="7" xfId="13" applyNumberFormat="1" applyFont="1" applyBorder="1" applyAlignment="1">
      <alignment horizontal="center" vertical="center" wrapText="1"/>
    </xf>
    <xf numFmtId="1" fontId="37" fillId="0" borderId="5" xfId="13" applyNumberFormat="1" applyFont="1" applyFill="1" applyBorder="1" applyAlignment="1">
      <alignment horizontal="center" vertical="center" wrapText="1"/>
    </xf>
    <xf numFmtId="164" fontId="37" fillId="0" borderId="30" xfId="13" applyNumberFormat="1" applyFont="1" applyFill="1" applyBorder="1" applyAlignment="1">
      <alignment horizontal="center" vertical="center" wrapText="1"/>
    </xf>
    <xf numFmtId="164" fontId="37" fillId="0" borderId="5" xfId="13" applyNumberFormat="1" applyFont="1" applyFill="1" applyBorder="1" applyAlignment="1">
      <alignment horizontal="center" vertical="center" wrapText="1"/>
    </xf>
    <xf numFmtId="0" fontId="41" fillId="3" borderId="16" xfId="0" applyFont="1" applyFill="1" applyBorder="1" applyAlignment="1">
      <alignment horizontal="center" vertical="center"/>
    </xf>
    <xf numFmtId="0" fontId="37" fillId="0" borderId="12" xfId="13" applyFont="1" applyBorder="1" applyAlignment="1">
      <alignment horizontal="center" vertical="center" wrapText="1"/>
    </xf>
    <xf numFmtId="0" fontId="37" fillId="0" borderId="9" xfId="13" applyFont="1" applyBorder="1" applyAlignment="1">
      <alignment horizontal="center" vertical="center" wrapText="1"/>
    </xf>
    <xf numFmtId="0" fontId="38" fillId="0" borderId="16" xfId="13" applyFont="1" applyBorder="1" applyAlignment="1">
      <alignment horizontal="center" vertical="center" wrapText="1"/>
    </xf>
    <xf numFmtId="1" fontId="37" fillId="0" borderId="12" xfId="13" applyNumberFormat="1" applyFont="1" applyBorder="1" applyAlignment="1">
      <alignment horizontal="center" vertical="center" wrapText="1"/>
    </xf>
    <xf numFmtId="164" fontId="37" fillId="0" borderId="10" xfId="13" applyNumberFormat="1" applyFont="1" applyBorder="1" applyAlignment="1">
      <alignment horizontal="center" vertical="center" wrapText="1"/>
    </xf>
    <xf numFmtId="1" fontId="37" fillId="0" borderId="8" xfId="13" applyNumberFormat="1" applyFont="1" applyFill="1" applyBorder="1" applyAlignment="1">
      <alignment horizontal="center" vertical="center" wrapText="1"/>
    </xf>
    <xf numFmtId="164" fontId="37" fillId="0" borderId="17" xfId="13" applyNumberFormat="1" applyFont="1" applyFill="1" applyBorder="1" applyAlignment="1">
      <alignment horizontal="center" vertical="center" wrapText="1"/>
    </xf>
    <xf numFmtId="164" fontId="37" fillId="0" borderId="8" xfId="13" applyNumberFormat="1" applyFont="1" applyFill="1" applyBorder="1" applyAlignment="1">
      <alignment horizontal="center" vertical="center" wrapText="1"/>
    </xf>
    <xf numFmtId="164" fontId="37" fillId="0" borderId="59" xfId="13" applyNumberFormat="1" applyFont="1" applyBorder="1" applyAlignment="1">
      <alignment horizontal="center" vertical="center" wrapText="1"/>
    </xf>
    <xf numFmtId="1" fontId="39" fillId="0" borderId="9" xfId="13" applyNumberFormat="1" applyFont="1" applyBorder="1" applyAlignment="1">
      <alignment horizontal="center" vertical="center" wrapText="1"/>
    </xf>
    <xf numFmtId="0" fontId="35" fillId="0" borderId="27" xfId="13" applyFont="1" applyBorder="1" applyAlignment="1">
      <alignment horizontal="left" vertical="top" wrapText="1"/>
    </xf>
    <xf numFmtId="165" fontId="37" fillId="0" borderId="36" xfId="13" applyNumberFormat="1" applyFont="1" applyBorder="1" applyAlignment="1">
      <alignment horizontal="center" vertical="center" wrapText="1"/>
    </xf>
    <xf numFmtId="0" fontId="42" fillId="0" borderId="15" xfId="13" applyFont="1" applyBorder="1" applyAlignment="1">
      <alignment horizontal="center" vertical="center" wrapText="1"/>
    </xf>
    <xf numFmtId="1" fontId="37" fillId="0" borderId="5" xfId="13" applyNumberFormat="1" applyFont="1" applyBorder="1" applyAlignment="1">
      <alignment horizontal="center" vertical="center" wrapText="1"/>
    </xf>
    <xf numFmtId="165" fontId="37" fillId="0" borderId="30" xfId="13" applyNumberFormat="1" applyFont="1" applyBorder="1" applyAlignment="1">
      <alignment horizontal="center" vertical="center" wrapText="1"/>
    </xf>
    <xf numFmtId="2" fontId="37" fillId="0" borderId="5" xfId="13" applyNumberFormat="1" applyFont="1" applyBorder="1" applyAlignment="1">
      <alignment horizontal="center" vertical="center" wrapText="1"/>
    </xf>
    <xf numFmtId="0" fontId="37" fillId="0" borderId="15" xfId="0" applyFont="1" applyBorder="1" applyAlignment="1">
      <alignment horizontal="center" vertical="center" wrapText="1"/>
    </xf>
    <xf numFmtId="0" fontId="37" fillId="0" borderId="39" xfId="0" applyFont="1" applyBorder="1" applyAlignment="1">
      <alignment horizontal="center" vertical="center" wrapText="1"/>
    </xf>
    <xf numFmtId="0" fontId="37" fillId="0" borderId="42" xfId="13" applyFont="1" applyBorder="1" applyAlignment="1">
      <alignment horizontal="center" vertical="center" wrapText="1"/>
    </xf>
    <xf numFmtId="0" fontId="37" fillId="0" borderId="43" xfId="13" applyFont="1" applyBorder="1" applyAlignment="1">
      <alignment horizontal="center" vertical="center" wrapText="1"/>
    </xf>
    <xf numFmtId="0" fontId="42" fillId="0" borderId="39" xfId="13" applyFont="1" applyBorder="1" applyAlignment="1">
      <alignment horizontal="center" vertical="center" wrapText="1"/>
    </xf>
    <xf numFmtId="1" fontId="37" fillId="0" borderId="19" xfId="13" applyNumberFormat="1" applyFont="1" applyBorder="1" applyAlignment="1">
      <alignment horizontal="center" vertical="center" wrapText="1"/>
    </xf>
    <xf numFmtId="164" fontId="37" fillId="0" borderId="18" xfId="13" applyNumberFormat="1" applyFont="1" applyBorder="1" applyAlignment="1">
      <alignment horizontal="center" vertical="center" wrapText="1"/>
    </xf>
    <xf numFmtId="165" fontId="37" fillId="0" borderId="50" xfId="13" applyNumberFormat="1" applyFont="1" applyBorder="1" applyAlignment="1">
      <alignment horizontal="center" vertical="center" wrapText="1"/>
    </xf>
    <xf numFmtId="0" fontId="35" fillId="0" borderId="14" xfId="13" applyFont="1" applyBorder="1" applyAlignment="1">
      <alignment horizontal="left" vertical="top" wrapText="1"/>
    </xf>
    <xf numFmtId="0" fontId="36" fillId="3" borderId="63" xfId="16" applyFont="1" applyFill="1" applyBorder="1" applyAlignment="1">
      <alignment horizontal="center" vertical="center" wrapText="1"/>
    </xf>
    <xf numFmtId="0" fontId="37" fillId="0" borderId="4" xfId="13" applyFont="1" applyBorder="1" applyAlignment="1">
      <alignment horizontal="center" vertical="center" wrapText="1"/>
    </xf>
    <xf numFmtId="0" fontId="29" fillId="0" borderId="39" xfId="0" applyFont="1" applyBorder="1" applyAlignment="1">
      <alignment vertical="top" wrapText="1"/>
    </xf>
    <xf numFmtId="0" fontId="37" fillId="0" borderId="7" xfId="13" applyFont="1" applyBorder="1" applyAlignment="1">
      <alignment horizontal="center" vertical="center" wrapText="1"/>
    </xf>
    <xf numFmtId="0" fontId="37" fillId="0" borderId="5" xfId="13" applyFont="1" applyBorder="1" applyAlignment="1">
      <alignment horizontal="center" vertical="center" wrapText="1"/>
    </xf>
    <xf numFmtId="164" fontId="37" fillId="0" borderId="30" xfId="13" applyNumberFormat="1" applyFont="1" applyBorder="1" applyAlignment="1">
      <alignment horizontal="center" vertical="center" wrapText="1"/>
    </xf>
    <xf numFmtId="0" fontId="37" fillId="0" borderId="15" xfId="13" applyFont="1" applyBorder="1" applyAlignment="1">
      <alignment horizontal="center" vertical="center" wrapText="1"/>
    </xf>
    <xf numFmtId="0" fontId="36" fillId="3" borderId="64" xfId="16" applyFont="1" applyFill="1" applyBorder="1" applyAlignment="1">
      <alignment horizontal="center" vertical="center" wrapText="1"/>
    </xf>
    <xf numFmtId="0" fontId="29" fillId="0" borderId="15" xfId="0" applyFont="1" applyBorder="1" applyAlignment="1">
      <alignment horizontal="left" vertical="top" wrapText="1"/>
    </xf>
    <xf numFmtId="0" fontId="37" fillId="0" borderId="23" xfId="13" applyFont="1" applyFill="1" applyBorder="1" applyAlignment="1">
      <alignment horizontal="center" vertical="center" wrapText="1"/>
    </xf>
    <xf numFmtId="0" fontId="37" fillId="0" borderId="6" xfId="13" applyFont="1" applyFill="1" applyBorder="1" applyAlignment="1">
      <alignment horizontal="center" vertical="center" wrapText="1"/>
    </xf>
    <xf numFmtId="0" fontId="37" fillId="0" borderId="7" xfId="13" applyFont="1" applyFill="1" applyBorder="1" applyAlignment="1">
      <alignment horizontal="center" vertical="center" wrapText="1"/>
    </xf>
    <xf numFmtId="0" fontId="37" fillId="0" borderId="5" xfId="13" applyFont="1" applyFill="1" applyBorder="1" applyAlignment="1">
      <alignment horizontal="center" vertical="center" wrapText="1"/>
    </xf>
    <xf numFmtId="164" fontId="37" fillId="0" borderId="7" xfId="13" applyNumberFormat="1" applyFont="1" applyFill="1" applyBorder="1" applyAlignment="1">
      <alignment horizontal="center" vertical="center" wrapText="1"/>
    </xf>
    <xf numFmtId="0" fontId="29" fillId="0" borderId="16" xfId="0" applyFont="1" applyBorder="1" applyAlignment="1">
      <alignment horizontal="left" vertical="top" wrapText="1"/>
    </xf>
    <xf numFmtId="0" fontId="37" fillId="0" borderId="12" xfId="13" applyFont="1" applyFill="1" applyBorder="1" applyAlignment="1">
      <alignment horizontal="center" vertical="center" wrapText="1"/>
    </xf>
    <xf numFmtId="0" fontId="37" fillId="0" borderId="9" xfId="13" applyFont="1" applyFill="1" applyBorder="1" applyAlignment="1">
      <alignment horizontal="center" vertical="center" wrapText="1"/>
    </xf>
    <xf numFmtId="0" fontId="37" fillId="0" borderId="10" xfId="13" applyFont="1" applyFill="1" applyBorder="1" applyAlignment="1">
      <alignment horizontal="center" vertical="center" wrapText="1"/>
    </xf>
    <xf numFmtId="0" fontId="37" fillId="0" borderId="8" xfId="13" applyFont="1" applyFill="1" applyBorder="1" applyAlignment="1">
      <alignment horizontal="center" vertical="center" wrapText="1"/>
    </xf>
    <xf numFmtId="164" fontId="37" fillId="0" borderId="10" xfId="13" applyNumberFormat="1" applyFont="1" applyFill="1" applyBorder="1" applyAlignment="1">
      <alignment horizontal="center" vertical="center" wrapText="1"/>
    </xf>
    <xf numFmtId="0" fontId="35" fillId="0" borderId="31" xfId="13" applyFont="1" applyBorder="1" applyAlignment="1">
      <alignment horizontal="left" vertical="top" wrapText="1"/>
    </xf>
    <xf numFmtId="0" fontId="36" fillId="3" borderId="32" xfId="15" applyFont="1" applyFill="1" applyBorder="1" applyAlignment="1">
      <alignment horizontal="center" vertical="center" wrapText="1"/>
    </xf>
    <xf numFmtId="0" fontId="37" fillId="0" borderId="44" xfId="13" applyFont="1" applyFill="1" applyBorder="1" applyAlignment="1">
      <alignment horizontal="center" vertical="center" wrapText="1"/>
    </xf>
    <xf numFmtId="0" fontId="37" fillId="0" borderId="25" xfId="13" applyFont="1" applyFill="1" applyBorder="1" applyAlignment="1">
      <alignment horizontal="center" vertical="center" wrapText="1"/>
    </xf>
    <xf numFmtId="0" fontId="37" fillId="0" borderId="13" xfId="13" applyFont="1" applyFill="1" applyBorder="1" applyAlignment="1">
      <alignment horizontal="center" vertical="center" wrapText="1"/>
    </xf>
    <xf numFmtId="0" fontId="38" fillId="0" borderId="32" xfId="13" applyFont="1" applyBorder="1" applyAlignment="1">
      <alignment horizontal="center" vertical="center" wrapText="1"/>
    </xf>
    <xf numFmtId="1" fontId="37" fillId="0" borderId="44" xfId="13" applyNumberFormat="1" applyFont="1" applyFill="1" applyBorder="1" applyAlignment="1">
      <alignment horizontal="center" vertical="center" wrapText="1"/>
    </xf>
    <xf numFmtId="164" fontId="37" fillId="0" borderId="13" xfId="13" applyNumberFormat="1" applyFont="1" applyFill="1" applyBorder="1" applyAlignment="1">
      <alignment horizontal="center" vertical="center" wrapText="1"/>
    </xf>
    <xf numFmtId="164" fontId="37" fillId="0" borderId="37" xfId="13" applyNumberFormat="1" applyFont="1" applyFill="1" applyBorder="1" applyAlignment="1">
      <alignment horizontal="center" vertical="center" wrapText="1"/>
    </xf>
    <xf numFmtId="0" fontId="37" fillId="0" borderId="15" xfId="0" applyFont="1" applyFill="1" applyBorder="1" applyAlignment="1">
      <alignment horizontal="center" vertical="center" wrapText="1"/>
    </xf>
    <xf numFmtId="0" fontId="37" fillId="0" borderId="16" xfId="0" applyFont="1" applyBorder="1" applyAlignment="1">
      <alignment horizontal="center" vertical="center" wrapText="1"/>
    </xf>
    <xf numFmtId="0" fontId="37" fillId="0" borderId="8" xfId="13" applyFont="1" applyBorder="1" applyAlignment="1">
      <alignment horizontal="center" vertical="center" wrapText="1"/>
    </xf>
    <xf numFmtId="0" fontId="37" fillId="0" borderId="10" xfId="13" applyFont="1" applyBorder="1" applyAlignment="1">
      <alignment horizontal="center" vertical="center" wrapText="1"/>
    </xf>
    <xf numFmtId="1" fontId="37" fillId="0" borderId="8" xfId="13" applyNumberFormat="1" applyFont="1" applyBorder="1" applyAlignment="1">
      <alignment horizontal="center" vertical="center" wrapText="1"/>
    </xf>
    <xf numFmtId="164" fontId="37" fillId="0" borderId="17" xfId="13" applyNumberFormat="1" applyFont="1" applyBorder="1" applyAlignment="1">
      <alignment horizontal="center" vertical="center" wrapText="1"/>
    </xf>
    <xf numFmtId="2" fontId="37" fillId="0" borderId="8" xfId="13" applyNumberFormat="1" applyFont="1" applyBorder="1" applyAlignment="1">
      <alignment horizontal="center" vertical="center" wrapText="1"/>
    </xf>
    <xf numFmtId="0" fontId="37" fillId="0" borderId="2" xfId="13" applyFont="1" applyBorder="1" applyAlignment="1">
      <alignment horizontal="center" vertical="center" wrapText="1"/>
    </xf>
    <xf numFmtId="0" fontId="36" fillId="0" borderId="14" xfId="15" applyFont="1" applyFill="1" applyBorder="1" applyAlignment="1">
      <alignment horizontal="center" vertical="center" wrapText="1"/>
    </xf>
    <xf numFmtId="0" fontId="37" fillId="0" borderId="2" xfId="13" applyFont="1" applyFill="1" applyBorder="1" applyAlignment="1">
      <alignment horizontal="center" vertical="center" wrapText="1"/>
    </xf>
    <xf numFmtId="0" fontId="37" fillId="0" borderId="3" xfId="13" applyFont="1" applyFill="1" applyBorder="1" applyAlignment="1">
      <alignment horizontal="center" vertical="center" wrapText="1"/>
    </xf>
    <xf numFmtId="0" fontId="37" fillId="0" borderId="4" xfId="13" applyFont="1" applyFill="1" applyBorder="1" applyAlignment="1">
      <alignment horizontal="center" vertical="center" wrapText="1"/>
    </xf>
    <xf numFmtId="1" fontId="37" fillId="0" borderId="2" xfId="13" applyNumberFormat="1" applyFont="1" applyFill="1" applyBorder="1" applyAlignment="1">
      <alignment horizontal="center" vertical="center" wrapText="1"/>
    </xf>
    <xf numFmtId="164" fontId="37" fillId="0" borderId="4" xfId="13" applyNumberFormat="1" applyFont="1" applyFill="1" applyBorder="1" applyAlignment="1">
      <alignment horizontal="center" vertical="center" wrapText="1"/>
    </xf>
    <xf numFmtId="164" fontId="37" fillId="0" borderId="36" xfId="13" applyNumberFormat="1" applyFont="1" applyFill="1" applyBorder="1" applyAlignment="1">
      <alignment horizontal="center" vertical="center" wrapText="1"/>
    </xf>
    <xf numFmtId="0" fontId="36" fillId="0" borderId="15" xfId="15" applyFont="1" applyFill="1" applyBorder="1" applyAlignment="1">
      <alignment horizontal="center" vertical="center" wrapText="1"/>
    </xf>
    <xf numFmtId="0" fontId="29" fillId="0" borderId="39" xfId="13" applyFont="1" applyBorder="1" applyAlignment="1">
      <alignment vertical="top" wrapText="1"/>
    </xf>
    <xf numFmtId="0" fontId="37" fillId="0" borderId="15" xfId="13" applyFont="1" applyFill="1" applyBorder="1" applyAlignment="1">
      <alignment horizontal="center" vertical="center" wrapText="1"/>
    </xf>
    <xf numFmtId="0" fontId="37" fillId="0" borderId="16" xfId="13" applyFont="1" applyFill="1" applyBorder="1" applyAlignment="1">
      <alignment horizontal="center" vertical="center" wrapText="1"/>
    </xf>
    <xf numFmtId="0" fontId="37" fillId="0" borderId="14" xfId="0" applyFont="1" applyBorder="1" applyAlignment="1">
      <alignment horizontal="center" vertical="center" wrapText="1"/>
    </xf>
    <xf numFmtId="0" fontId="36" fillId="3" borderId="16" xfId="15" applyFont="1" applyFill="1" applyBorder="1" applyAlignment="1">
      <alignment horizontal="center" vertical="center" wrapText="1"/>
    </xf>
    <xf numFmtId="1" fontId="7" fillId="0" borderId="22" xfId="13" applyNumberFormat="1" applyFont="1" applyBorder="1" applyAlignment="1">
      <alignment horizontal="center" vertical="top" wrapText="1"/>
    </xf>
    <xf numFmtId="49" fontId="8" fillId="3" borderId="28" xfId="13" applyNumberFormat="1" applyFont="1" applyFill="1" applyBorder="1" applyAlignment="1">
      <alignment horizontal="center" vertical="top" wrapText="1"/>
    </xf>
    <xf numFmtId="167" fontId="8" fillId="3" borderId="13" xfId="13" applyNumberFormat="1" applyFont="1" applyFill="1" applyBorder="1" applyAlignment="1">
      <alignment horizontal="center" vertical="top" wrapText="1"/>
    </xf>
    <xf numFmtId="0" fontId="7" fillId="4" borderId="28" xfId="13" applyFont="1" applyFill="1" applyBorder="1" applyAlignment="1">
      <alignment horizontal="center" vertical="top" wrapText="1"/>
    </xf>
    <xf numFmtId="1" fontId="7" fillId="0" borderId="16" xfId="13" applyNumberFormat="1" applyFont="1" applyFill="1" applyBorder="1" applyAlignment="1">
      <alignment horizontal="center" vertical="top" wrapText="1"/>
    </xf>
    <xf numFmtId="1" fontId="7" fillId="0" borderId="16" xfId="13" applyNumberFormat="1" applyFont="1" applyBorder="1" applyAlignment="1">
      <alignment horizontal="center" vertical="top" wrapText="1"/>
    </xf>
    <xf numFmtId="0" fontId="7" fillId="2" borderId="33" xfId="13" applyFont="1" applyFill="1" applyBorder="1" applyAlignment="1">
      <alignment horizontal="center" vertical="center" wrapText="1"/>
    </xf>
    <xf numFmtId="0" fontId="8" fillId="3" borderId="0" xfId="13" applyFont="1" applyFill="1" applyBorder="1"/>
    <xf numFmtId="1" fontId="7" fillId="2" borderId="33" xfId="13" applyNumberFormat="1" applyFont="1" applyFill="1" applyBorder="1" applyAlignment="1">
      <alignment horizontal="center" vertical="center" wrapText="1"/>
    </xf>
    <xf numFmtId="0" fontId="8" fillId="0" borderId="44" xfId="13" applyFont="1" applyBorder="1" applyAlignment="1">
      <alignment horizontal="center" vertical="top" wrapText="1"/>
    </xf>
    <xf numFmtId="0" fontId="8" fillId="0" borderId="25" xfId="13" applyFont="1" applyBorder="1" applyAlignment="1">
      <alignment horizontal="center" vertical="top" wrapText="1"/>
    </xf>
    <xf numFmtId="0" fontId="8" fillId="0" borderId="13" xfId="13" applyFont="1" applyBorder="1" applyAlignment="1">
      <alignment horizontal="center" vertical="top" wrapText="1"/>
    </xf>
    <xf numFmtId="1" fontId="8" fillId="0" borderId="44" xfId="13" applyNumberFormat="1" applyFont="1" applyBorder="1" applyAlignment="1">
      <alignment horizontal="center" vertical="top" wrapText="1"/>
    </xf>
    <xf numFmtId="0" fontId="7" fillId="0" borderId="33" xfId="13" applyFont="1" applyBorder="1" applyAlignment="1">
      <alignment horizontal="center" vertical="top" wrapText="1"/>
    </xf>
    <xf numFmtId="1" fontId="7" fillId="0" borderId="28" xfId="13" applyNumberFormat="1" applyFont="1" applyFill="1" applyBorder="1" applyAlignment="1">
      <alignment horizontal="center" vertical="top" wrapText="1"/>
    </xf>
    <xf numFmtId="167" fontId="8" fillId="0" borderId="65" xfId="13" applyNumberFormat="1" applyFont="1" applyBorder="1" applyAlignment="1">
      <alignment horizontal="center" vertical="top" wrapText="1"/>
    </xf>
    <xf numFmtId="167" fontId="8" fillId="0" borderId="66" xfId="13" applyNumberFormat="1" applyFont="1" applyBorder="1" applyAlignment="1">
      <alignment horizontal="center" vertical="top" wrapText="1"/>
    </xf>
    <xf numFmtId="0" fontId="7" fillId="2" borderId="8" xfId="13" applyFont="1" applyFill="1" applyBorder="1" applyAlignment="1">
      <alignment horizontal="center" vertical="center" wrapText="1"/>
    </xf>
    <xf numFmtId="1" fontId="39" fillId="0" borderId="25" xfId="13" applyNumberFormat="1" applyFont="1" applyBorder="1" applyAlignment="1">
      <alignment horizontal="center" vertical="center" wrapText="1"/>
    </xf>
    <xf numFmtId="0" fontId="29" fillId="5" borderId="9" xfId="13" applyNumberFormat="1" applyFont="1" applyFill="1" applyBorder="1" applyAlignment="1">
      <alignment horizontal="center" vertical="center" wrapText="1"/>
    </xf>
    <xf numFmtId="1" fontId="7" fillId="2" borderId="67" xfId="13" applyNumberFormat="1" applyFont="1" applyFill="1" applyBorder="1" applyAlignment="1">
      <alignment horizontal="center" vertical="center" wrapText="1"/>
    </xf>
    <xf numFmtId="164" fontId="7" fillId="2" borderId="68" xfId="13" applyNumberFormat="1" applyFont="1" applyFill="1" applyBorder="1" applyAlignment="1">
      <alignment horizontal="center" vertical="center" wrapText="1"/>
    </xf>
    <xf numFmtId="164" fontId="7" fillId="2" borderId="11" xfId="13" applyNumberFormat="1" applyFont="1" applyFill="1" applyBorder="1" applyAlignment="1">
      <alignment horizontal="center" vertical="center" textRotation="90" wrapText="1"/>
    </xf>
    <xf numFmtId="0" fontId="29" fillId="0" borderId="40" xfId="0" applyFont="1" applyBorder="1" applyAlignment="1">
      <alignment vertical="top" wrapText="1"/>
    </xf>
    <xf numFmtId="0" fontId="29" fillId="5" borderId="19" xfId="13" applyNumberFormat="1" applyFont="1" applyFill="1" applyBorder="1" applyAlignment="1">
      <alignment horizontal="center" vertical="center" wrapText="1"/>
    </xf>
    <xf numFmtId="0" fontId="23" fillId="0" borderId="14" xfId="6" applyFont="1" applyBorder="1" applyAlignment="1">
      <alignment horizontal="center"/>
    </xf>
    <xf numFmtId="2" fontId="44" fillId="0" borderId="32" xfId="6" applyNumberFormat="1" applyFont="1" applyBorder="1"/>
    <xf numFmtId="0" fontId="7" fillId="2" borderId="67" xfId="13" applyFont="1" applyFill="1" applyBorder="1" applyAlignment="1">
      <alignment horizontal="center" vertical="center" wrapText="1"/>
    </xf>
    <xf numFmtId="0" fontId="7" fillId="2" borderId="69" xfId="13" applyFont="1" applyFill="1" applyBorder="1" applyAlignment="1">
      <alignment horizontal="center" vertical="center" wrapText="1"/>
    </xf>
    <xf numFmtId="0" fontId="26" fillId="2" borderId="68" xfId="13" applyFont="1" applyFill="1" applyBorder="1" applyAlignment="1">
      <alignment horizontal="center" vertical="center" wrapText="1"/>
    </xf>
    <xf numFmtId="0" fontId="7" fillId="0" borderId="0" xfId="13" applyFont="1" applyAlignment="1">
      <alignment horizontal="left"/>
    </xf>
    <xf numFmtId="1" fontId="7" fillId="2" borderId="46" xfId="13" applyNumberFormat="1" applyFont="1" applyFill="1" applyBorder="1" applyAlignment="1">
      <alignment horizontal="center" vertical="center" wrapText="1"/>
    </xf>
    <xf numFmtId="0" fontId="7" fillId="2" borderId="58" xfId="13" applyFont="1" applyFill="1" applyBorder="1" applyAlignment="1">
      <alignment horizontal="center" vertical="center" wrapText="1"/>
    </xf>
    <xf numFmtId="164" fontId="7" fillId="2" borderId="65" xfId="13" applyNumberFormat="1" applyFont="1" applyFill="1" applyBorder="1" applyAlignment="1">
      <alignment horizontal="center" vertical="center" wrapText="1"/>
    </xf>
    <xf numFmtId="1" fontId="7" fillId="2" borderId="41" xfId="13" applyNumberFormat="1" applyFont="1" applyFill="1" applyBorder="1" applyAlignment="1">
      <alignment horizontal="center" vertical="center" wrapText="1"/>
    </xf>
    <xf numFmtId="164" fontId="7" fillId="2" borderId="26" xfId="13" applyNumberFormat="1" applyFont="1" applyFill="1" applyBorder="1" applyAlignment="1">
      <alignment horizontal="center" vertical="center" wrapText="1"/>
    </xf>
    <xf numFmtId="164" fontId="7" fillId="2" borderId="46" xfId="13" applyNumberFormat="1" applyFont="1" applyFill="1" applyBorder="1" applyAlignment="1">
      <alignment horizontal="center" vertical="center" wrapText="1"/>
    </xf>
    <xf numFmtId="164" fontId="7" fillId="2" borderId="59" xfId="13" applyNumberFormat="1" applyFont="1" applyFill="1" applyBorder="1" applyAlignment="1">
      <alignment horizontal="center" vertical="center" wrapText="1"/>
    </xf>
    <xf numFmtId="2" fontId="8" fillId="3" borderId="8" xfId="13" applyNumberFormat="1" applyFont="1" applyFill="1" applyBorder="1" applyAlignment="1">
      <alignment horizontal="center" vertical="top" wrapText="1"/>
    </xf>
    <xf numFmtId="0" fontId="7" fillId="2" borderId="62" xfId="13" applyFont="1" applyFill="1" applyBorder="1" applyAlignment="1">
      <alignment horizontal="center" vertical="center" wrapText="1"/>
    </xf>
    <xf numFmtId="164" fontId="7" fillId="2" borderId="70" xfId="13" applyNumberFormat="1" applyFont="1" applyFill="1" applyBorder="1" applyAlignment="1">
      <alignment horizontal="center" vertical="center" wrapText="1"/>
    </xf>
    <xf numFmtId="164" fontId="7" fillId="2" borderId="71" xfId="13" applyNumberFormat="1" applyFont="1" applyFill="1" applyBorder="1" applyAlignment="1">
      <alignment horizontal="center" vertical="center" wrapText="1"/>
    </xf>
    <xf numFmtId="0" fontId="2" fillId="0" borderId="0" xfId="6" applyFont="1"/>
    <xf numFmtId="49" fontId="2" fillId="0" borderId="31" xfId="6" applyNumberFormat="1" applyFont="1" applyBorder="1" applyAlignment="1">
      <alignment horizontal="center" vertical="center"/>
    </xf>
    <xf numFmtId="0" fontId="2" fillId="0" borderId="44" xfId="6" applyFont="1" applyBorder="1"/>
    <xf numFmtId="0" fontId="2" fillId="0" borderId="25" xfId="6" applyFont="1" applyBorder="1"/>
    <xf numFmtId="0" fontId="2" fillId="0" borderId="13" xfId="6" applyFont="1" applyBorder="1"/>
    <xf numFmtId="0" fontId="2" fillId="0" borderId="22" xfId="6" applyFont="1" applyBorder="1"/>
    <xf numFmtId="0" fontId="2" fillId="0" borderId="37" xfId="6" applyFont="1" applyBorder="1"/>
    <xf numFmtId="49" fontId="2" fillId="0" borderId="24" xfId="6" applyNumberFormat="1" applyFont="1" applyBorder="1" applyAlignment="1">
      <alignment horizontal="center" vertical="center"/>
    </xf>
    <xf numFmtId="0" fontId="2" fillId="0" borderId="5" xfId="6" applyFont="1" applyBorder="1"/>
    <xf numFmtId="0" fontId="2" fillId="0" borderId="6" xfId="6" applyFont="1" applyBorder="1"/>
    <xf numFmtId="0" fontId="2" fillId="0" borderId="7" xfId="6" applyFont="1" applyBorder="1"/>
    <xf numFmtId="0" fontId="2" fillId="0" borderId="23" xfId="6" applyFont="1" applyBorder="1"/>
    <xf numFmtId="0" fontId="2" fillId="0" borderId="30" xfId="6" applyFont="1" applyBorder="1"/>
    <xf numFmtId="2" fontId="23" fillId="0" borderId="15" xfId="6" applyNumberFormat="1" applyFont="1" applyBorder="1"/>
    <xf numFmtId="49" fontId="2" fillId="3" borderId="24" xfId="6" applyNumberFormat="1" applyFont="1" applyFill="1" applyBorder="1" applyAlignment="1">
      <alignment horizontal="center" vertical="center"/>
    </xf>
    <xf numFmtId="0" fontId="2" fillId="3" borderId="5" xfId="6" applyFont="1" applyFill="1" applyBorder="1"/>
    <xf numFmtId="0" fontId="2" fillId="3" borderId="6" xfId="6" applyFont="1" applyFill="1" applyBorder="1"/>
    <xf numFmtId="0" fontId="2" fillId="3" borderId="7" xfId="6" applyFont="1" applyFill="1" applyBorder="1"/>
    <xf numFmtId="0" fontId="2" fillId="3" borderId="23" xfId="6" applyFont="1" applyFill="1" applyBorder="1"/>
    <xf numFmtId="0" fontId="2" fillId="3" borderId="30" xfId="6" applyFont="1" applyFill="1" applyBorder="1"/>
    <xf numFmtId="2" fontId="23" fillId="3" borderId="15" xfId="6" applyNumberFormat="1" applyFont="1" applyFill="1" applyBorder="1"/>
    <xf numFmtId="2" fontId="23" fillId="0" borderId="15" xfId="6" applyNumberFormat="1" applyFont="1" applyFill="1" applyBorder="1"/>
    <xf numFmtId="49" fontId="2" fillId="0" borderId="28" xfId="6" applyNumberFormat="1" applyFont="1" applyBorder="1" applyAlignment="1">
      <alignment horizontal="center" vertical="center"/>
    </xf>
    <xf numFmtId="0" fontId="2" fillId="0" borderId="8" xfId="6" applyFont="1" applyBorder="1"/>
    <xf numFmtId="0" fontId="2" fillId="0" borderId="9" xfId="6" applyFont="1" applyBorder="1"/>
    <xf numFmtId="0" fontId="2" fillId="0" borderId="10" xfId="6" applyFont="1" applyBorder="1"/>
    <xf numFmtId="0" fontId="2" fillId="0" borderId="12" xfId="6" applyFont="1" applyBorder="1"/>
    <xf numFmtId="0" fontId="2" fillId="0" borderId="17" xfId="6" applyFont="1" applyBorder="1"/>
    <xf numFmtId="2" fontId="23" fillId="0" borderId="16" xfId="6" applyNumberFormat="1" applyFont="1" applyFill="1" applyBorder="1"/>
    <xf numFmtId="0" fontId="2" fillId="0" borderId="0" xfId="6" applyFont="1" applyAlignment="1">
      <alignment horizontal="center" vertical="center"/>
    </xf>
    <xf numFmtId="0" fontId="2" fillId="0" borderId="0" xfId="6" applyFont="1" applyAlignment="1"/>
    <xf numFmtId="0" fontId="5" fillId="0" borderId="0" xfId="13" applyFont="1"/>
    <xf numFmtId="2" fontId="37" fillId="0" borderId="10" xfId="13" applyNumberFormat="1" applyFont="1" applyBorder="1" applyAlignment="1">
      <alignment horizontal="center" vertical="center" wrapText="1"/>
    </xf>
    <xf numFmtId="1" fontId="39" fillId="0" borderId="25" xfId="13" applyNumberFormat="1" applyFont="1" applyFill="1" applyBorder="1" applyAlignment="1">
      <alignment horizontal="center" vertical="center" wrapText="1"/>
    </xf>
    <xf numFmtId="3" fontId="35" fillId="0" borderId="6" xfId="14" applyNumberFormat="1" applyFont="1" applyFill="1" applyBorder="1" applyAlignment="1">
      <alignment horizontal="left" vertical="top" wrapText="1"/>
    </xf>
    <xf numFmtId="3" fontId="28" fillId="0" borderId="6" xfId="14" applyNumberFormat="1" applyFont="1" applyFill="1" applyBorder="1" applyAlignment="1">
      <alignment horizontal="left" vertical="top" wrapText="1"/>
    </xf>
    <xf numFmtId="3" fontId="35" fillId="0" borderId="6" xfId="14" applyNumberFormat="1" applyFont="1" applyFill="1" applyBorder="1" applyAlignment="1">
      <alignment vertical="top" wrapText="1"/>
    </xf>
    <xf numFmtId="3" fontId="23" fillId="0" borderId="0" xfId="0" applyNumberFormat="1" applyFont="1" applyFill="1"/>
    <xf numFmtId="3" fontId="28" fillId="0" borderId="6" xfId="14" applyNumberFormat="1" applyFont="1" applyFill="1" applyBorder="1" applyAlignment="1">
      <alignment vertical="top" wrapText="1"/>
    </xf>
    <xf numFmtId="3" fontId="35" fillId="0" borderId="6" xfId="14" applyNumberFormat="1" applyFont="1" applyFill="1" applyBorder="1" applyAlignment="1">
      <alignment horizontal="center" vertical="center" wrapText="1"/>
    </xf>
    <xf numFmtId="0" fontId="35" fillId="0" borderId="6" xfId="6" applyFont="1" applyBorder="1"/>
    <xf numFmtId="3" fontId="44" fillId="0" borderId="0" xfId="0" applyNumberFormat="1" applyFont="1" applyFill="1"/>
    <xf numFmtId="3" fontId="35" fillId="0" borderId="6" xfId="14" applyNumberFormat="1" applyFont="1" applyFill="1" applyBorder="1" applyAlignment="1">
      <alignment horizontal="center" vertical="top" wrapText="1"/>
    </xf>
    <xf numFmtId="0" fontId="46" fillId="0" borderId="0" xfId="13" applyFont="1" applyFill="1" applyBorder="1" applyAlignment="1">
      <alignment vertical="center" wrapText="1"/>
    </xf>
    <xf numFmtId="0" fontId="47" fillId="2" borderId="33" xfId="13" applyFont="1" applyFill="1" applyBorder="1" applyAlignment="1">
      <alignment horizontal="center" vertical="center" wrapText="1"/>
    </xf>
    <xf numFmtId="3" fontId="8" fillId="0" borderId="0" xfId="13" applyNumberFormat="1" applyFont="1" applyBorder="1" applyAlignment="1"/>
    <xf numFmtId="0" fontId="37" fillId="0" borderId="48" xfId="13" applyFont="1" applyBorder="1" applyAlignment="1">
      <alignment horizontal="center" vertical="center" wrapText="1"/>
    </xf>
    <xf numFmtId="0" fontId="37" fillId="0" borderId="38" xfId="13" applyFont="1" applyFill="1" applyBorder="1" applyAlignment="1">
      <alignment horizontal="center" vertical="center" wrapText="1"/>
    </xf>
    <xf numFmtId="0" fontId="37" fillId="0" borderId="66" xfId="13" applyFont="1" applyFill="1" applyBorder="1" applyAlignment="1">
      <alignment horizontal="center" vertical="center" wrapText="1"/>
    </xf>
    <xf numFmtId="0" fontId="37" fillId="0" borderId="47" xfId="13" applyFont="1" applyFill="1" applyBorder="1" applyAlignment="1">
      <alignment horizontal="center" vertical="center" wrapText="1"/>
    </xf>
    <xf numFmtId="0" fontId="37" fillId="0" borderId="47" xfId="13" applyFont="1" applyBorder="1" applyAlignment="1">
      <alignment horizontal="center" vertical="center" wrapText="1"/>
    </xf>
    <xf numFmtId="0" fontId="37" fillId="0" borderId="51" xfId="13" applyFont="1" applyFill="1" applyBorder="1" applyAlignment="1">
      <alignment horizontal="center" vertical="center" wrapText="1"/>
    </xf>
    <xf numFmtId="0" fontId="37" fillId="0" borderId="13" xfId="13" applyFont="1" applyBorder="1" applyAlignment="1">
      <alignment horizontal="center" vertical="center" wrapText="1"/>
    </xf>
    <xf numFmtId="14" fontId="48" fillId="3" borderId="0" xfId="0" applyNumberFormat="1" applyFont="1" applyFill="1" applyAlignment="1">
      <alignment vertical="center"/>
    </xf>
    <xf numFmtId="0" fontId="8" fillId="6" borderId="0" xfId="13" applyFont="1" applyFill="1" applyBorder="1" applyAlignment="1">
      <alignment wrapText="1"/>
    </xf>
    <xf numFmtId="0" fontId="8" fillId="6" borderId="0" xfId="13" applyFont="1" applyFill="1" applyBorder="1" applyAlignment="1"/>
    <xf numFmtId="1" fontId="8" fillId="6" borderId="0" xfId="13" applyNumberFormat="1" applyFont="1" applyFill="1" applyBorder="1" applyAlignment="1"/>
    <xf numFmtId="165" fontId="8" fillId="6" borderId="0" xfId="13" applyNumberFormat="1" applyFont="1" applyFill="1" applyBorder="1" applyAlignment="1"/>
    <xf numFmtId="3" fontId="8" fillId="6" borderId="0" xfId="13" applyNumberFormat="1" applyFont="1" applyFill="1" applyBorder="1" applyAlignment="1"/>
    <xf numFmtId="0" fontId="49" fillId="0" borderId="0" xfId="13" applyFont="1"/>
    <xf numFmtId="0" fontId="51" fillId="0" borderId="6" xfId="12" applyFont="1" applyBorder="1"/>
    <xf numFmtId="0" fontId="50" fillId="0" borderId="0" xfId="12"/>
    <xf numFmtId="0" fontId="50" fillId="0" borderId="6" xfId="12" applyBorder="1"/>
    <xf numFmtId="3" fontId="50" fillId="0" borderId="6" xfId="12" applyNumberFormat="1" applyBorder="1"/>
    <xf numFmtId="0" fontId="23" fillId="0" borderId="0" xfId="0" applyFont="1" applyFill="1"/>
    <xf numFmtId="3" fontId="23" fillId="0" borderId="6" xfId="0" applyNumberFormat="1" applyFont="1" applyFill="1" applyBorder="1"/>
    <xf numFmtId="9" fontId="23" fillId="0" borderId="6" xfId="0" applyNumberFormat="1" applyFont="1" applyFill="1" applyBorder="1" applyAlignment="1">
      <alignment horizontal="left"/>
    </xf>
    <xf numFmtId="1" fontId="8" fillId="6" borderId="0" xfId="13" applyNumberFormat="1" applyFont="1" applyFill="1" applyBorder="1" applyAlignment="1">
      <alignment wrapText="1"/>
    </xf>
    <xf numFmtId="165" fontId="8" fillId="6" borderId="0" xfId="13" applyNumberFormat="1" applyFont="1" applyFill="1" applyBorder="1" applyAlignment="1">
      <alignment wrapText="1"/>
    </xf>
    <xf numFmtId="3" fontId="8" fillId="6" borderId="0" xfId="13" applyNumberFormat="1" applyFont="1" applyFill="1" applyBorder="1" applyAlignment="1">
      <alignment wrapText="1"/>
    </xf>
    <xf numFmtId="10" fontId="8" fillId="0" borderId="0" xfId="13" applyNumberFormat="1" applyFont="1" applyAlignment="1">
      <alignment wrapText="1"/>
    </xf>
    <xf numFmtId="165" fontId="8" fillId="6" borderId="0" xfId="13" applyNumberFormat="1" applyFont="1" applyFill="1"/>
    <xf numFmtId="0" fontId="8" fillId="6" borderId="0" xfId="13" applyFont="1" applyFill="1"/>
    <xf numFmtId="164" fontId="8" fillId="6" borderId="0" xfId="13" applyNumberFormat="1" applyFont="1" applyFill="1"/>
    <xf numFmtId="165" fontId="12" fillId="6" borderId="0" xfId="13" applyNumberFormat="1" applyFont="1" applyFill="1"/>
    <xf numFmtId="0" fontId="12" fillId="6" borderId="0" xfId="13" applyFont="1" applyFill="1"/>
    <xf numFmtId="164" fontId="12" fillId="6" borderId="0" xfId="13" applyNumberFormat="1" applyFont="1" applyFill="1"/>
    <xf numFmtId="0" fontId="11" fillId="6" borderId="0" xfId="13" applyFont="1" applyFill="1" applyAlignment="1">
      <alignment horizontal="left"/>
    </xf>
    <xf numFmtId="0" fontId="7" fillId="6" borderId="0" xfId="13" applyFont="1" applyFill="1"/>
    <xf numFmtId="1" fontId="8" fillId="6" borderId="0" xfId="13" applyNumberFormat="1" applyFont="1" applyFill="1"/>
    <xf numFmtId="0" fontId="11" fillId="6" borderId="0" xfId="13" applyFont="1" applyFill="1"/>
    <xf numFmtId="1" fontId="12" fillId="6" borderId="0" xfId="13" applyNumberFormat="1" applyFont="1" applyFill="1"/>
    <xf numFmtId="0" fontId="49" fillId="6" borderId="0" xfId="13" applyFont="1" applyFill="1"/>
    <xf numFmtId="10" fontId="8" fillId="0" borderId="0" xfId="13" applyNumberFormat="1" applyFont="1" applyAlignment="1">
      <alignment shrinkToFit="1"/>
    </xf>
    <xf numFmtId="0" fontId="8" fillId="0" borderId="0" xfId="13" applyNumberFormat="1" applyFont="1" applyAlignment="1">
      <alignment wrapText="1"/>
    </xf>
    <xf numFmtId="9" fontId="8" fillId="0" borderId="0" xfId="13" applyNumberFormat="1" applyFont="1" applyAlignment="1">
      <alignment wrapText="1"/>
    </xf>
    <xf numFmtId="10" fontId="42" fillId="0" borderId="0" xfId="13" applyNumberFormat="1" applyFont="1"/>
    <xf numFmtId="0" fontId="54" fillId="0" borderId="51" xfId="13" applyFont="1" applyBorder="1" applyAlignment="1">
      <alignment horizontal="center" vertical="center" wrapText="1"/>
    </xf>
    <xf numFmtId="0" fontId="5" fillId="0" borderId="0" xfId="13" applyFont="1" applyAlignment="1">
      <alignment horizontal="left"/>
    </xf>
    <xf numFmtId="0" fontId="55" fillId="0" borderId="6" xfId="12" applyFont="1" applyBorder="1"/>
    <xf numFmtId="2" fontId="8" fillId="0" borderId="3" xfId="13" applyNumberFormat="1" applyFont="1" applyBorder="1" applyAlignment="1">
      <alignment horizontal="center" vertical="top" wrapText="1"/>
    </xf>
    <xf numFmtId="165" fontId="8" fillId="0" borderId="4" xfId="13" applyNumberFormat="1" applyFont="1" applyBorder="1" applyAlignment="1">
      <alignment horizontal="center" vertical="top" wrapText="1"/>
    </xf>
    <xf numFmtId="2" fontId="8" fillId="0" borderId="34" xfId="13" applyNumberFormat="1" applyFont="1" applyBorder="1" applyAlignment="1">
      <alignment horizontal="center" vertical="top" wrapText="1"/>
    </xf>
    <xf numFmtId="1" fontId="7" fillId="0" borderId="3" xfId="13" applyNumberFormat="1" applyFont="1" applyBorder="1" applyAlignment="1">
      <alignment horizontal="center" wrapText="1"/>
    </xf>
    <xf numFmtId="2" fontId="25" fillId="0" borderId="4" xfId="13" applyNumberFormat="1" applyFont="1" applyBorder="1" applyAlignment="1">
      <alignment horizontal="center" vertical="top" wrapText="1"/>
    </xf>
    <xf numFmtId="0" fontId="7" fillId="0" borderId="33" xfId="13" applyFont="1" applyBorder="1" applyAlignment="1">
      <alignment horizontal="left" vertical="top" wrapText="1"/>
    </xf>
    <xf numFmtId="0" fontId="7" fillId="0" borderId="53" xfId="13" applyFont="1" applyBorder="1" applyAlignment="1">
      <alignment horizontal="left" vertical="top" wrapText="1"/>
    </xf>
    <xf numFmtId="0" fontId="8" fillId="0" borderId="67" xfId="13" applyFont="1" applyBorder="1" applyAlignment="1">
      <alignment horizontal="center" vertical="top" wrapText="1"/>
    </xf>
    <xf numFmtId="0" fontId="8" fillId="0" borderId="69" xfId="13" applyFont="1" applyBorder="1" applyAlignment="1">
      <alignment horizontal="center" vertical="top" wrapText="1"/>
    </xf>
    <xf numFmtId="0" fontId="8" fillId="0" borderId="68" xfId="13" applyFont="1" applyBorder="1" applyAlignment="1">
      <alignment horizontal="center" vertical="top" wrapText="1"/>
    </xf>
    <xf numFmtId="1" fontId="8" fillId="0" borderId="67" xfId="13" applyNumberFormat="1" applyFont="1" applyBorder="1" applyAlignment="1">
      <alignment horizontal="center" vertical="top" wrapText="1"/>
    </xf>
    <xf numFmtId="2" fontId="8" fillId="0" borderId="69" xfId="13" applyNumberFormat="1" applyFont="1" applyBorder="1" applyAlignment="1">
      <alignment horizontal="center" vertical="top" wrapText="1"/>
    </xf>
    <xf numFmtId="164" fontId="8" fillId="0" borderId="68" xfId="13" applyNumberFormat="1" applyFont="1" applyBorder="1" applyAlignment="1">
      <alignment horizontal="center" vertical="top" wrapText="1"/>
    </xf>
    <xf numFmtId="165" fontId="8" fillId="0" borderId="68" xfId="13" applyNumberFormat="1" applyFont="1" applyBorder="1" applyAlignment="1">
      <alignment horizontal="center" vertical="top" wrapText="1"/>
    </xf>
    <xf numFmtId="2" fontId="8" fillId="0" borderId="73" xfId="13" applyNumberFormat="1" applyFont="1" applyBorder="1" applyAlignment="1">
      <alignment horizontal="center" vertical="top" wrapText="1"/>
    </xf>
    <xf numFmtId="2" fontId="8" fillId="0" borderId="67" xfId="13" applyNumberFormat="1" applyFont="1" applyBorder="1" applyAlignment="1">
      <alignment horizontal="center" vertical="top" wrapText="1"/>
    </xf>
    <xf numFmtId="1" fontId="7" fillId="0" borderId="69" xfId="13" applyNumberFormat="1" applyFont="1" applyBorder="1" applyAlignment="1">
      <alignment horizontal="center" wrapText="1"/>
    </xf>
    <xf numFmtId="2" fontId="25" fillId="0" borderId="68" xfId="13" applyNumberFormat="1" applyFont="1" applyBorder="1" applyAlignment="1">
      <alignment horizontal="center" vertical="top" wrapText="1"/>
    </xf>
    <xf numFmtId="2" fontId="7" fillId="0" borderId="6" xfId="13" applyNumberFormat="1" applyFont="1" applyFill="1" applyBorder="1" applyAlignment="1">
      <alignment horizontal="center" vertical="top" wrapText="1"/>
    </xf>
    <xf numFmtId="2" fontId="7" fillId="0" borderId="24" xfId="13" applyNumberFormat="1" applyFont="1" applyFill="1" applyBorder="1" applyAlignment="1">
      <alignment horizontal="center" vertical="top" wrapText="1"/>
    </xf>
    <xf numFmtId="2" fontId="7" fillId="0" borderId="16" xfId="13" applyNumberFormat="1" applyFont="1" applyFill="1" applyBorder="1" applyAlignment="1">
      <alignment horizontal="center" vertical="top" wrapText="1"/>
    </xf>
    <xf numFmtId="2" fontId="7" fillId="0" borderId="31" xfId="13" applyNumberFormat="1" applyFont="1" applyFill="1" applyBorder="1" applyAlignment="1">
      <alignment horizontal="center" vertical="top" wrapText="1"/>
    </xf>
    <xf numFmtId="167" fontId="8" fillId="0" borderId="0" xfId="13" applyNumberFormat="1" applyFont="1"/>
    <xf numFmtId="2" fontId="7" fillId="0" borderId="31" xfId="13" applyNumberFormat="1" applyFont="1" applyBorder="1" applyAlignment="1">
      <alignment horizontal="center" vertical="top" wrapText="1"/>
    </xf>
    <xf numFmtId="2" fontId="7" fillId="0" borderId="16" xfId="13" applyNumberFormat="1" applyFont="1" applyBorder="1" applyAlignment="1">
      <alignment horizontal="center" vertical="top" wrapText="1"/>
    </xf>
    <xf numFmtId="0" fontId="56" fillId="0" borderId="6" xfId="12" applyFont="1" applyBorder="1"/>
    <xf numFmtId="49" fontId="24" fillId="0" borderId="21" xfId="13" applyNumberFormat="1" applyFont="1" applyFill="1" applyBorder="1" applyAlignment="1">
      <alignment horizontal="center" vertical="top" wrapText="1"/>
    </xf>
    <xf numFmtId="0" fontId="29" fillId="0" borderId="29" xfId="0" applyFont="1" applyBorder="1" applyAlignment="1">
      <alignment vertical="top" wrapText="1"/>
    </xf>
    <xf numFmtId="0" fontId="58" fillId="3" borderId="15" xfId="15" applyFont="1" applyFill="1" applyBorder="1" applyAlignment="1">
      <alignment horizontal="center" vertical="center" wrapText="1"/>
    </xf>
    <xf numFmtId="3" fontId="24" fillId="6" borderId="0" xfId="13" applyNumberFormat="1" applyFont="1" applyFill="1" applyBorder="1" applyAlignment="1">
      <alignment wrapText="1"/>
    </xf>
    <xf numFmtId="1" fontId="58" fillId="0" borderId="6" xfId="13" applyNumberFormat="1" applyFont="1" applyFill="1" applyBorder="1" applyAlignment="1">
      <alignment horizontal="center" vertical="center" wrapText="1"/>
    </xf>
    <xf numFmtId="0" fontId="60" fillId="0" borderId="14" xfId="13" applyFont="1" applyFill="1" applyBorder="1" applyAlignment="1">
      <alignment horizontal="center" vertical="top" wrapText="1"/>
    </xf>
    <xf numFmtId="0" fontId="60" fillId="0" borderId="33" xfId="13" applyFont="1" applyFill="1" applyBorder="1" applyAlignment="1">
      <alignment horizontal="center" vertical="top" wrapText="1"/>
    </xf>
    <xf numFmtId="0" fontId="60" fillId="0" borderId="27" xfId="13" applyFont="1" applyBorder="1" applyAlignment="1">
      <alignment horizontal="center" vertical="top" wrapText="1"/>
    </xf>
    <xf numFmtId="0" fontId="60" fillId="0" borderId="24" xfId="13" applyFont="1" applyBorder="1" applyAlignment="1">
      <alignment horizontal="center" vertical="top" wrapText="1"/>
    </xf>
    <xf numFmtId="0" fontId="61" fillId="0" borderId="15" xfId="13" applyFont="1" applyBorder="1" applyAlignment="1">
      <alignment horizontal="center" vertical="center" wrapText="1"/>
    </xf>
    <xf numFmtId="0" fontId="54" fillId="0" borderId="5" xfId="13" applyFont="1" applyFill="1" applyBorder="1" applyAlignment="1">
      <alignment horizontal="center" vertical="center" wrapText="1"/>
    </xf>
    <xf numFmtId="0" fontId="54" fillId="0" borderId="8" xfId="13" applyFont="1" applyFill="1" applyBorder="1" applyAlignment="1">
      <alignment horizontal="center" vertical="center" wrapText="1"/>
    </xf>
    <xf numFmtId="0" fontId="61" fillId="0" borderId="32" xfId="13" applyFont="1" applyBorder="1" applyAlignment="1">
      <alignment horizontal="center" vertical="center" wrapText="1"/>
    </xf>
    <xf numFmtId="164" fontId="8" fillId="0" borderId="13" xfId="13" applyNumberFormat="1" applyFont="1" applyFill="1" applyBorder="1" applyAlignment="1">
      <alignment horizontal="center" vertical="top" wrapText="1"/>
    </xf>
    <xf numFmtId="2" fontId="7" fillId="0" borderId="28" xfId="13" applyNumberFormat="1" applyFont="1" applyFill="1" applyBorder="1" applyAlignment="1">
      <alignment horizontal="center" vertical="top" wrapText="1"/>
    </xf>
    <xf numFmtId="2" fontId="8" fillId="3" borderId="61" xfId="13" applyNumberFormat="1" applyFont="1" applyFill="1" applyBorder="1" applyAlignment="1">
      <alignment horizontal="center" vertical="top" wrapText="1"/>
    </xf>
    <xf numFmtId="2" fontId="25" fillId="3" borderId="58" xfId="13" applyNumberFormat="1" applyFont="1" applyFill="1" applyBorder="1" applyAlignment="1">
      <alignment horizontal="center" vertical="top" wrapText="1"/>
    </xf>
    <xf numFmtId="167" fontId="8" fillId="0" borderId="12" xfId="13" applyNumberFormat="1" applyFont="1" applyFill="1" applyBorder="1" applyAlignment="1">
      <alignment horizontal="center" vertical="top" wrapText="1"/>
    </xf>
    <xf numFmtId="1" fontId="58" fillId="0" borderId="6" xfId="13" applyNumberFormat="1" applyFont="1" applyBorder="1" applyAlignment="1">
      <alignment horizontal="center" vertical="center" wrapText="1"/>
    </xf>
    <xf numFmtId="3" fontId="35" fillId="0" borderId="0" xfId="14" applyNumberFormat="1" applyFont="1" applyFill="1" applyBorder="1" applyAlignment="1">
      <alignment horizontal="center" vertical="center" wrapText="1"/>
    </xf>
    <xf numFmtId="164" fontId="2" fillId="3" borderId="6" xfId="6" applyNumberFormat="1" applyFont="1" applyFill="1" applyBorder="1"/>
    <xf numFmtId="2" fontId="2" fillId="3" borderId="30" xfId="6" applyNumberFormat="1" applyFont="1" applyFill="1" applyBorder="1"/>
    <xf numFmtId="0" fontId="60" fillId="0" borderId="16" xfId="13" applyFont="1" applyBorder="1" applyAlignment="1">
      <alignment horizontal="center" vertical="top" wrapText="1"/>
    </xf>
    <xf numFmtId="0" fontId="60" fillId="0" borderId="31" xfId="13" applyFont="1" applyBorder="1" applyAlignment="1">
      <alignment horizontal="center" vertical="top" wrapText="1"/>
    </xf>
    <xf numFmtId="0" fontId="5" fillId="0" borderId="0" xfId="6" applyFont="1" applyFill="1" applyBorder="1"/>
    <xf numFmtId="0" fontId="5" fillId="0" borderId="6" xfId="6" applyFont="1" applyFill="1" applyBorder="1" applyAlignment="1">
      <alignment horizontal="center" vertical="center"/>
    </xf>
    <xf numFmtId="0" fontId="8" fillId="0" borderId="0" xfId="13" applyFont="1" applyFill="1" applyBorder="1"/>
    <xf numFmtId="49" fontId="62" fillId="0" borderId="31" xfId="6" applyNumberFormat="1" applyFont="1" applyBorder="1" applyAlignment="1">
      <alignment horizontal="center" vertical="center"/>
    </xf>
    <xf numFmtId="0" fontId="1" fillId="0" borderId="44" xfId="6" applyFont="1" applyBorder="1"/>
    <xf numFmtId="0" fontId="1" fillId="0" borderId="25" xfId="6" applyFont="1" applyBorder="1"/>
    <xf numFmtId="0" fontId="1" fillId="0" borderId="13" xfId="6" applyFont="1" applyBorder="1"/>
    <xf numFmtId="0" fontId="62" fillId="0" borderId="22" xfId="6" applyFont="1" applyBorder="1"/>
    <xf numFmtId="0" fontId="62" fillId="0" borderId="25" xfId="6" applyFont="1" applyBorder="1"/>
    <xf numFmtId="0" fontId="62" fillId="0" borderId="37" xfId="6" applyFont="1" applyBorder="1"/>
    <xf numFmtId="0" fontId="62" fillId="0" borderId="44" xfId="6" applyFont="1" applyBorder="1"/>
    <xf numFmtId="0" fontId="62" fillId="0" borderId="13" xfId="6" applyFont="1" applyBorder="1"/>
    <xf numFmtId="2" fontId="42" fillId="0" borderId="0" xfId="13" applyNumberFormat="1" applyFont="1"/>
    <xf numFmtId="0" fontId="1" fillId="0" borderId="0" xfId="6" applyFont="1"/>
    <xf numFmtId="0" fontId="62" fillId="0" borderId="23" xfId="6" applyFont="1" applyBorder="1"/>
    <xf numFmtId="0" fontId="62" fillId="0" borderId="6" xfId="6" applyFont="1" applyBorder="1"/>
    <xf numFmtId="0" fontId="62" fillId="0" borderId="30" xfId="6" applyFont="1" applyBorder="1"/>
    <xf numFmtId="0" fontId="62" fillId="0" borderId="5" xfId="6" applyFont="1" applyBorder="1"/>
    <xf numFmtId="0" fontId="62" fillId="0" borderId="7" xfId="6" applyFont="1" applyBorder="1"/>
    <xf numFmtId="49" fontId="62" fillId="0" borderId="24" xfId="6" applyNumberFormat="1" applyFont="1" applyBorder="1" applyAlignment="1">
      <alignment horizontal="center" vertical="center"/>
    </xf>
    <xf numFmtId="0" fontId="7" fillId="3" borderId="25" xfId="13" applyFont="1" applyFill="1" applyBorder="1" applyAlignment="1">
      <alignment horizontal="center" vertical="top" wrapText="1"/>
    </xf>
    <xf numFmtId="0" fontId="7" fillId="3" borderId="9" xfId="13" applyFont="1" applyFill="1" applyBorder="1" applyAlignment="1">
      <alignment horizontal="center" vertical="top" wrapText="1"/>
    </xf>
    <xf numFmtId="0" fontId="7" fillId="0" borderId="25" xfId="13" applyFont="1" applyBorder="1" applyAlignment="1">
      <alignment horizontal="center" vertical="top" wrapText="1"/>
    </xf>
    <xf numFmtId="0" fontId="7" fillId="0" borderId="55" xfId="13" applyFont="1" applyFill="1" applyBorder="1" applyAlignment="1">
      <alignment horizontal="center" vertical="top" wrapText="1"/>
    </xf>
    <xf numFmtId="3" fontId="63" fillId="0" borderId="6" xfId="14" applyNumberFormat="1" applyFont="1" applyFill="1" applyBorder="1" applyAlignment="1">
      <alignment horizontal="center" vertical="center" wrapText="1"/>
    </xf>
    <xf numFmtId="0" fontId="7" fillId="0" borderId="9" xfId="13" applyFont="1" applyBorder="1" applyAlignment="1">
      <alignment horizontal="center" vertical="top" wrapText="1"/>
    </xf>
    <xf numFmtId="2" fontId="8" fillId="0" borderId="0" xfId="13" applyNumberFormat="1" applyFont="1"/>
    <xf numFmtId="2" fontId="17" fillId="0" borderId="0" xfId="0" applyNumberFormat="1" applyFont="1"/>
    <xf numFmtId="3" fontId="35" fillId="0" borderId="0" xfId="14" applyNumberFormat="1" applyFont="1" applyFill="1" applyBorder="1" applyAlignment="1">
      <alignment vertical="top" wrapText="1"/>
    </xf>
    <xf numFmtId="3" fontId="28" fillId="0" borderId="0" xfId="14" applyNumberFormat="1" applyFont="1" applyFill="1" applyBorder="1" applyAlignment="1">
      <alignment vertical="top" wrapText="1"/>
    </xf>
    <xf numFmtId="3" fontId="63" fillId="0" borderId="0" xfId="14" applyNumberFormat="1" applyFont="1" applyFill="1" applyBorder="1" applyAlignment="1">
      <alignment horizontal="center" vertical="center" wrapText="1"/>
    </xf>
    <xf numFmtId="3" fontId="23" fillId="0" borderId="0" xfId="0" applyNumberFormat="1" applyFont="1" applyFill="1" applyBorder="1"/>
    <xf numFmtId="1" fontId="49" fillId="3" borderId="6" xfId="13" applyNumberFormat="1" applyFont="1" applyFill="1" applyBorder="1" applyAlignment="1">
      <alignment horizontal="center" vertical="top" wrapText="1"/>
    </xf>
    <xf numFmtId="1" fontId="7" fillId="0" borderId="34" xfId="13" applyNumberFormat="1" applyFont="1" applyFill="1" applyBorder="1" applyAlignment="1">
      <alignment horizontal="center" vertical="top" wrapText="1"/>
    </xf>
    <xf numFmtId="1" fontId="7" fillId="0" borderId="23" xfId="13" applyNumberFormat="1" applyFont="1" applyFill="1" applyBorder="1" applyAlignment="1">
      <alignment horizontal="center" vertical="top" wrapText="1"/>
    </xf>
    <xf numFmtId="0" fontId="6" fillId="0" borderId="0" xfId="6" applyFont="1" applyFill="1" applyBorder="1"/>
    <xf numFmtId="0" fontId="51" fillId="0" borderId="0" xfId="0" applyFont="1"/>
    <xf numFmtId="0" fontId="67" fillId="0" borderId="6" xfId="12" applyFont="1" applyBorder="1"/>
    <xf numFmtId="3" fontId="67" fillId="0" borderId="6" xfId="12" applyNumberFormat="1" applyFont="1" applyBorder="1"/>
    <xf numFmtId="2" fontId="7" fillId="0" borderId="9" xfId="13" applyNumberFormat="1" applyFont="1" applyFill="1" applyBorder="1" applyAlignment="1">
      <alignment horizontal="center" vertical="top" wrapText="1"/>
    </xf>
    <xf numFmtId="49" fontId="68" fillId="0" borderId="48" xfId="13" applyNumberFormat="1" applyFont="1" applyFill="1" applyBorder="1" applyAlignment="1">
      <alignment horizontal="center" vertical="top" wrapText="1"/>
    </xf>
    <xf numFmtId="0" fontId="7" fillId="0" borderId="32" xfId="13" applyFont="1" applyFill="1" applyBorder="1" applyAlignment="1">
      <alignment horizontal="center" vertical="top" wrapText="1"/>
    </xf>
    <xf numFmtId="1" fontId="69" fillId="3" borderId="6" xfId="13" applyNumberFormat="1" applyFont="1" applyFill="1" applyBorder="1" applyAlignment="1">
      <alignment horizontal="center" vertical="top" wrapText="1"/>
    </xf>
    <xf numFmtId="49" fontId="70" fillId="0" borderId="21" xfId="13" applyNumberFormat="1" applyFont="1" applyFill="1" applyBorder="1" applyAlignment="1">
      <alignment horizontal="center" vertical="top" wrapText="1"/>
    </xf>
    <xf numFmtId="0" fontId="29" fillId="5" borderId="8" xfId="13" applyNumberFormat="1" applyFont="1" applyFill="1" applyBorder="1" applyAlignment="1">
      <alignment horizontal="center" vertical="center" wrapText="1"/>
    </xf>
    <xf numFmtId="0" fontId="29" fillId="5" borderId="10" xfId="13" applyNumberFormat="1" applyFont="1" applyFill="1" applyBorder="1" applyAlignment="1">
      <alignment horizontal="center" vertical="center" wrapText="1"/>
    </xf>
    <xf numFmtId="0" fontId="29" fillId="5" borderId="17" xfId="13" applyNumberFormat="1" applyFont="1" applyFill="1" applyBorder="1" applyAlignment="1">
      <alignment horizontal="center" vertical="center" wrapText="1"/>
    </xf>
    <xf numFmtId="1" fontId="71" fillId="0" borderId="6" xfId="13" applyNumberFormat="1" applyFont="1" applyBorder="1" applyAlignment="1">
      <alignment horizontal="center" vertical="center" wrapText="1"/>
    </xf>
    <xf numFmtId="0" fontId="71" fillId="3" borderId="15" xfId="15" applyFont="1" applyFill="1" applyBorder="1" applyAlignment="1">
      <alignment horizontal="center" vertical="center" wrapText="1"/>
    </xf>
    <xf numFmtId="0" fontId="7" fillId="0" borderId="20" xfId="13" applyFont="1" applyBorder="1" applyAlignment="1">
      <alignment horizontal="left" vertical="top" wrapText="1"/>
    </xf>
    <xf numFmtId="164" fontId="7" fillId="7" borderId="1" xfId="13" applyNumberFormat="1" applyFont="1" applyFill="1" applyBorder="1" applyAlignment="1">
      <alignment horizontal="center" vertical="center" textRotation="90" wrapText="1"/>
    </xf>
    <xf numFmtId="164" fontId="7" fillId="7" borderId="29" xfId="13" applyNumberFormat="1" applyFont="1" applyFill="1" applyBorder="1" applyAlignment="1">
      <alignment horizontal="center" vertical="center" textRotation="90" wrapText="1"/>
    </xf>
    <xf numFmtId="1" fontId="7" fillId="7" borderId="46" xfId="13" applyNumberFormat="1" applyFont="1" applyFill="1" applyBorder="1" applyAlignment="1">
      <alignment horizontal="center" vertical="center" wrapText="1"/>
    </xf>
    <xf numFmtId="0" fontId="7" fillId="7" borderId="58" xfId="13" applyFont="1" applyFill="1" applyBorder="1" applyAlignment="1">
      <alignment horizontal="center" vertical="center" wrapText="1"/>
    </xf>
    <xf numFmtId="164" fontId="7" fillId="7" borderId="65" xfId="13" applyNumberFormat="1" applyFont="1" applyFill="1" applyBorder="1" applyAlignment="1">
      <alignment horizontal="center" vertical="center" wrapText="1"/>
    </xf>
    <xf numFmtId="1" fontId="7" fillId="7" borderId="41" xfId="13" applyNumberFormat="1" applyFont="1" applyFill="1" applyBorder="1" applyAlignment="1">
      <alignment horizontal="center" vertical="center" wrapText="1"/>
    </xf>
    <xf numFmtId="164" fontId="7" fillId="7" borderId="26" xfId="13" applyNumberFormat="1" applyFont="1" applyFill="1" applyBorder="1" applyAlignment="1">
      <alignment horizontal="center" vertical="center" wrapText="1"/>
    </xf>
    <xf numFmtId="164" fontId="7" fillId="7" borderId="46" xfId="13" applyNumberFormat="1" applyFont="1" applyFill="1" applyBorder="1" applyAlignment="1">
      <alignment horizontal="center" vertical="center" wrapText="1"/>
    </xf>
    <xf numFmtId="164" fontId="7" fillId="7" borderId="59" xfId="13" applyNumberFormat="1" applyFont="1" applyFill="1" applyBorder="1" applyAlignment="1">
      <alignment horizontal="center" vertical="center" wrapText="1"/>
    </xf>
    <xf numFmtId="0" fontId="7" fillId="7" borderId="8" xfId="13" applyFont="1" applyFill="1" applyBorder="1" applyAlignment="1">
      <alignment horizontal="center" vertical="center" wrapText="1"/>
    </xf>
    <xf numFmtId="0" fontId="7" fillId="7" borderId="9" xfId="13" applyFont="1" applyFill="1" applyBorder="1" applyAlignment="1">
      <alignment horizontal="center" vertical="center" wrapText="1"/>
    </xf>
    <xf numFmtId="0" fontId="72" fillId="7" borderId="10" xfId="13" applyFont="1" applyFill="1" applyBorder="1" applyAlignment="1">
      <alignment horizontal="center" vertical="center" wrapText="1"/>
    </xf>
    <xf numFmtId="0" fontId="8" fillId="0" borderId="27" xfId="13" applyNumberFormat="1" applyFont="1" applyFill="1" applyBorder="1" applyAlignment="1">
      <alignment horizontal="center" vertical="top" wrapText="1"/>
    </xf>
    <xf numFmtId="0" fontId="73" fillId="0" borderId="14" xfId="13" applyFont="1" applyFill="1" applyBorder="1" applyAlignment="1">
      <alignment horizontal="center" vertical="top" wrapText="1"/>
    </xf>
    <xf numFmtId="2" fontId="8" fillId="8" borderId="22" xfId="13" applyNumberFormat="1" applyFont="1" applyFill="1" applyBorder="1" applyAlignment="1">
      <alignment horizontal="center" vertical="top" wrapText="1"/>
    </xf>
    <xf numFmtId="2" fontId="74" fillId="8" borderId="25" xfId="13" applyNumberFormat="1" applyFont="1" applyFill="1" applyBorder="1" applyAlignment="1">
      <alignment horizontal="center" vertical="top" wrapText="1"/>
    </xf>
    <xf numFmtId="0" fontId="68" fillId="0" borderId="20" xfId="13" applyFont="1" applyFill="1" applyBorder="1" applyAlignment="1">
      <alignment horizontal="left" vertical="center" wrapText="1"/>
    </xf>
    <xf numFmtId="0" fontId="8" fillId="0" borderId="24" xfId="13" applyNumberFormat="1" applyFont="1" applyFill="1" applyBorder="1" applyAlignment="1">
      <alignment horizontal="center" vertical="top" wrapText="1"/>
    </xf>
    <xf numFmtId="167" fontId="75" fillId="0" borderId="6" xfId="13" applyNumberFormat="1" applyFont="1" applyFill="1" applyBorder="1" applyAlignment="1">
      <alignment horizontal="center" vertical="top" wrapText="1"/>
    </xf>
    <xf numFmtId="167" fontId="75" fillId="0" borderId="30" xfId="13" applyNumberFormat="1" applyFont="1" applyFill="1" applyBorder="1" applyAlignment="1">
      <alignment horizontal="center" vertical="top" wrapText="1"/>
    </xf>
    <xf numFmtId="0" fontId="7" fillId="0" borderId="20" xfId="13" applyFont="1" applyFill="1" applyBorder="1" applyAlignment="1">
      <alignment horizontal="center" vertical="center" wrapText="1"/>
    </xf>
    <xf numFmtId="0" fontId="7" fillId="0" borderId="0" xfId="13" applyFont="1" applyFill="1" applyBorder="1" applyAlignment="1">
      <alignment horizontal="center" vertical="center" wrapText="1"/>
    </xf>
    <xf numFmtId="0" fontId="8" fillId="0" borderId="28" xfId="13" applyNumberFormat="1" applyFont="1" applyFill="1" applyBorder="1" applyAlignment="1">
      <alignment horizontal="center" vertical="top" wrapText="1"/>
    </xf>
    <xf numFmtId="2" fontId="8" fillId="8" borderId="8" xfId="13" applyNumberFormat="1" applyFont="1" applyFill="1" applyBorder="1" applyAlignment="1">
      <alignment horizontal="center" vertical="top" wrapText="1"/>
    </xf>
    <xf numFmtId="2" fontId="74" fillId="8" borderId="9" xfId="13" applyNumberFormat="1" applyFont="1" applyFill="1" applyBorder="1" applyAlignment="1">
      <alignment horizontal="center" vertical="top" wrapText="1"/>
    </xf>
    <xf numFmtId="0" fontId="73" fillId="0" borderId="14" xfId="13" applyFont="1" applyBorder="1" applyAlignment="1">
      <alignment horizontal="center" vertical="top" wrapText="1"/>
    </xf>
    <xf numFmtId="49" fontId="7" fillId="0" borderId="27" xfId="13" applyNumberFormat="1" applyFont="1" applyBorder="1" applyAlignment="1">
      <alignment horizontal="center" vertical="top" wrapText="1"/>
    </xf>
    <xf numFmtId="0" fontId="49" fillId="0" borderId="20" xfId="0" applyFont="1" applyFill="1" applyBorder="1" applyAlignment="1">
      <alignment vertical="top" wrapText="1"/>
    </xf>
    <xf numFmtId="0" fontId="8" fillId="0" borderId="20" xfId="0" applyFont="1" applyFill="1" applyBorder="1" applyAlignment="1">
      <alignment vertical="top" wrapText="1"/>
    </xf>
    <xf numFmtId="0" fontId="73" fillId="0" borderId="33" xfId="13" applyFont="1" applyFill="1" applyBorder="1" applyAlignment="1">
      <alignment horizontal="center" vertical="top" wrapText="1"/>
    </xf>
    <xf numFmtId="2" fontId="8" fillId="8" borderId="61" xfId="13" applyNumberFormat="1" applyFont="1" applyFill="1" applyBorder="1" applyAlignment="1">
      <alignment horizontal="center" vertical="top" wrapText="1"/>
    </xf>
    <xf numFmtId="0" fontId="7" fillId="0" borderId="58" xfId="13" applyFont="1" applyBorder="1" applyAlignment="1">
      <alignment horizontal="center" vertical="top" wrapText="1"/>
    </xf>
    <xf numFmtId="2" fontId="74" fillId="8" borderId="58" xfId="13" applyNumberFormat="1" applyFont="1" applyFill="1" applyBorder="1" applyAlignment="1">
      <alignment horizontal="center" vertical="top" wrapText="1"/>
    </xf>
    <xf numFmtId="0" fontId="73" fillId="0" borderId="32" xfId="13" applyFont="1" applyFill="1" applyBorder="1" applyAlignment="1">
      <alignment horizontal="center" vertical="top" wrapText="1"/>
    </xf>
    <xf numFmtId="0" fontId="8" fillId="0" borderId="40" xfId="0" applyFont="1" applyFill="1" applyBorder="1" applyAlignment="1">
      <alignment vertical="top" wrapText="1"/>
    </xf>
    <xf numFmtId="0" fontId="8" fillId="0" borderId="20" xfId="0" applyFont="1" applyBorder="1" applyAlignment="1">
      <alignment vertical="top" wrapText="1"/>
    </xf>
    <xf numFmtId="0" fontId="68" fillId="0" borderId="40" xfId="0" applyFont="1" applyBorder="1" applyAlignment="1">
      <alignment vertical="top" wrapText="1"/>
    </xf>
    <xf numFmtId="2" fontId="74" fillId="0" borderId="59" xfId="13" applyNumberFormat="1" applyFont="1" applyFill="1" applyBorder="1" applyAlignment="1">
      <alignment horizontal="center" vertical="top" wrapText="1"/>
    </xf>
    <xf numFmtId="0" fontId="7" fillId="9" borderId="31" xfId="13" applyFont="1" applyFill="1" applyBorder="1" applyAlignment="1">
      <alignment horizontal="center" vertical="top" wrapText="1"/>
    </xf>
    <xf numFmtId="49" fontId="8" fillId="8" borderId="31" xfId="13" applyNumberFormat="1" applyFont="1" applyFill="1" applyBorder="1" applyAlignment="1">
      <alignment horizontal="center" vertical="top" wrapText="1"/>
    </xf>
    <xf numFmtId="2" fontId="74" fillId="0" borderId="26" xfId="13" applyNumberFormat="1" applyFont="1" applyBorder="1" applyAlignment="1">
      <alignment horizontal="center" vertical="top" wrapText="1"/>
    </xf>
    <xf numFmtId="0" fontId="7" fillId="9" borderId="24" xfId="13" applyFont="1" applyFill="1" applyBorder="1" applyAlignment="1">
      <alignment horizontal="center" vertical="top" wrapText="1"/>
    </xf>
    <xf numFmtId="49" fontId="8" fillId="8" borderId="24" xfId="13" applyNumberFormat="1" applyFont="1" applyFill="1" applyBorder="1" applyAlignment="1">
      <alignment horizontal="center" vertical="top" wrapText="1"/>
    </xf>
    <xf numFmtId="2" fontId="74" fillId="0" borderId="7" xfId="13" applyNumberFormat="1" applyFont="1" applyFill="1" applyBorder="1" applyAlignment="1">
      <alignment horizontal="center" vertical="top" wrapText="1"/>
    </xf>
    <xf numFmtId="0" fontId="8" fillId="10" borderId="5" xfId="13" applyFont="1" applyFill="1" applyBorder="1" applyAlignment="1">
      <alignment horizontal="center" vertical="top" wrapText="1"/>
    </xf>
    <xf numFmtId="0" fontId="8" fillId="10" borderId="6" xfId="13" applyFont="1" applyFill="1" applyBorder="1" applyAlignment="1">
      <alignment horizontal="center" vertical="top" wrapText="1"/>
    </xf>
    <xf numFmtId="0" fontId="8" fillId="10" borderId="7" xfId="13" applyFont="1" applyFill="1" applyBorder="1" applyAlignment="1">
      <alignment horizontal="center" vertical="top" wrapText="1"/>
    </xf>
    <xf numFmtId="0" fontId="7" fillId="10" borderId="24" xfId="13" applyFont="1" applyFill="1" applyBorder="1" applyAlignment="1">
      <alignment horizontal="center" vertical="top" wrapText="1"/>
    </xf>
    <xf numFmtId="49" fontId="8" fillId="10" borderId="24" xfId="13" applyNumberFormat="1" applyFont="1" applyFill="1" applyBorder="1" applyAlignment="1">
      <alignment horizontal="center" vertical="top" wrapText="1"/>
    </xf>
    <xf numFmtId="0" fontId="7" fillId="10" borderId="14" xfId="13" applyFont="1" applyFill="1" applyBorder="1" applyAlignment="1">
      <alignment horizontal="center" vertical="top" wrapText="1"/>
    </xf>
    <xf numFmtId="1" fontId="7" fillId="10" borderId="24" xfId="13" applyNumberFormat="1" applyFont="1" applyFill="1" applyBorder="1" applyAlignment="1">
      <alignment horizontal="center" vertical="top" wrapText="1"/>
    </xf>
    <xf numFmtId="1" fontId="8" fillId="10" borderId="5" xfId="13" applyNumberFormat="1" applyFont="1" applyFill="1" applyBorder="1" applyAlignment="1">
      <alignment horizontal="center" vertical="top" wrapText="1"/>
    </xf>
    <xf numFmtId="167" fontId="8" fillId="10" borderId="37" xfId="13" applyNumberFormat="1" applyFont="1" applyFill="1" applyBorder="1" applyAlignment="1">
      <alignment horizontal="center" vertical="top" wrapText="1"/>
    </xf>
    <xf numFmtId="167" fontId="8" fillId="10" borderId="7" xfId="13" applyNumberFormat="1" applyFont="1" applyFill="1" applyBorder="1" applyAlignment="1">
      <alignment horizontal="center" vertical="top" wrapText="1"/>
    </xf>
    <xf numFmtId="167" fontId="8" fillId="10" borderId="23" xfId="13" applyNumberFormat="1" applyFont="1" applyFill="1" applyBorder="1" applyAlignment="1">
      <alignment horizontal="center" vertical="top" wrapText="1"/>
    </xf>
    <xf numFmtId="164" fontId="8" fillId="10" borderId="7" xfId="13" applyNumberFormat="1" applyFont="1" applyFill="1" applyBorder="1" applyAlignment="1">
      <alignment horizontal="center" vertical="top" wrapText="1"/>
    </xf>
    <xf numFmtId="1" fontId="7" fillId="10" borderId="23" xfId="13" applyNumberFormat="1" applyFont="1" applyFill="1" applyBorder="1" applyAlignment="1">
      <alignment horizontal="center" vertical="top" wrapText="1"/>
    </xf>
    <xf numFmtId="2" fontId="74" fillId="0" borderId="13" xfId="13" applyNumberFormat="1" applyFont="1" applyFill="1" applyBorder="1" applyAlignment="1">
      <alignment horizontal="center" vertical="top" wrapText="1"/>
    </xf>
    <xf numFmtId="2" fontId="74" fillId="0" borderId="26" xfId="13" applyNumberFormat="1" applyFont="1" applyFill="1" applyBorder="1" applyAlignment="1">
      <alignment horizontal="center" vertical="top" wrapText="1"/>
    </xf>
    <xf numFmtId="0" fontId="8" fillId="10" borderId="19" xfId="13" applyFont="1" applyFill="1" applyBorder="1" applyAlignment="1">
      <alignment horizontal="center" vertical="top" wrapText="1"/>
    </xf>
    <xf numFmtId="0" fontId="8" fillId="10" borderId="9" xfId="13" applyFont="1" applyFill="1" applyBorder="1" applyAlignment="1">
      <alignment horizontal="center" vertical="top" wrapText="1"/>
    </xf>
    <xf numFmtId="0" fontId="8" fillId="10" borderId="10" xfId="13" applyFont="1" applyFill="1" applyBorder="1" applyAlignment="1">
      <alignment horizontal="center" vertical="top" wrapText="1"/>
    </xf>
    <xf numFmtId="0" fontId="7" fillId="10" borderId="16" xfId="13" applyFont="1" applyFill="1" applyBorder="1" applyAlignment="1">
      <alignment horizontal="center" vertical="top" wrapText="1"/>
    </xf>
    <xf numFmtId="0" fontId="7" fillId="10" borderId="28" xfId="13" applyFont="1" applyFill="1" applyBorder="1" applyAlignment="1">
      <alignment horizontal="center" vertical="top" wrapText="1"/>
    </xf>
    <xf numFmtId="49" fontId="8" fillId="10" borderId="28" xfId="13" applyNumberFormat="1" applyFont="1" applyFill="1" applyBorder="1" applyAlignment="1">
      <alignment horizontal="center" vertical="top" wrapText="1"/>
    </xf>
    <xf numFmtId="49" fontId="8" fillId="10" borderId="52" xfId="13" applyNumberFormat="1" applyFont="1" applyFill="1" applyBorder="1" applyAlignment="1">
      <alignment horizontal="center" vertical="top" wrapText="1"/>
    </xf>
    <xf numFmtId="1" fontId="8" fillId="10" borderId="8" xfId="13" applyNumberFormat="1" applyFont="1" applyFill="1" applyBorder="1" applyAlignment="1">
      <alignment horizontal="center" vertical="top" wrapText="1"/>
    </xf>
    <xf numFmtId="167" fontId="8" fillId="10" borderId="17" xfId="13" applyNumberFormat="1" applyFont="1" applyFill="1" applyBorder="1" applyAlignment="1">
      <alignment horizontal="center" vertical="top" wrapText="1"/>
    </xf>
    <xf numFmtId="167" fontId="8" fillId="10" borderId="10" xfId="13" applyNumberFormat="1" applyFont="1" applyFill="1" applyBorder="1" applyAlignment="1">
      <alignment horizontal="center" vertical="top" wrapText="1"/>
    </xf>
    <xf numFmtId="167" fontId="8" fillId="10" borderId="12" xfId="13" applyNumberFormat="1" applyFont="1" applyFill="1" applyBorder="1" applyAlignment="1">
      <alignment horizontal="center" vertical="top" wrapText="1"/>
    </xf>
    <xf numFmtId="164" fontId="8" fillId="10" borderId="10" xfId="13" applyNumberFormat="1" applyFont="1" applyFill="1" applyBorder="1" applyAlignment="1">
      <alignment horizontal="center" vertical="top" wrapText="1"/>
    </xf>
    <xf numFmtId="2" fontId="74" fillId="0" borderId="10" xfId="13" applyNumberFormat="1" applyFont="1" applyFill="1" applyBorder="1" applyAlignment="1">
      <alignment horizontal="center" vertical="top" wrapText="1"/>
    </xf>
    <xf numFmtId="0" fontId="76" fillId="0" borderId="0" xfId="13" applyFont="1"/>
    <xf numFmtId="1" fontId="76" fillId="0" borderId="0" xfId="13" applyNumberFormat="1" applyFont="1"/>
    <xf numFmtId="164" fontId="76" fillId="0" borderId="0" xfId="13" applyNumberFormat="1" applyFont="1"/>
    <xf numFmtId="165" fontId="76" fillId="0" borderId="0" xfId="13" applyNumberFormat="1" applyFont="1"/>
    <xf numFmtId="0" fontId="8" fillId="0" borderId="31" xfId="13" applyNumberFormat="1" applyFont="1" applyFill="1" applyBorder="1" applyAlignment="1">
      <alignment horizontal="center" vertical="top" wrapText="1"/>
    </xf>
    <xf numFmtId="0" fontId="7" fillId="0" borderId="40" xfId="13" applyFont="1" applyFill="1" applyBorder="1" applyAlignment="1">
      <alignment horizontal="center" vertical="center" wrapText="1"/>
    </xf>
    <xf numFmtId="0" fontId="8" fillId="0" borderId="20" xfId="13" applyFont="1" applyFill="1" applyBorder="1" applyAlignment="1">
      <alignment vertical="top" wrapText="1"/>
    </xf>
    <xf numFmtId="0" fontId="8" fillId="0" borderId="40" xfId="13" applyFont="1" applyFill="1" applyBorder="1" applyAlignment="1">
      <alignment vertical="top" wrapText="1"/>
    </xf>
    <xf numFmtId="0" fontId="8" fillId="0" borderId="31" xfId="13" applyFont="1" applyFill="1" applyBorder="1" applyAlignment="1">
      <alignment horizontal="center" vertical="top" wrapText="1"/>
    </xf>
    <xf numFmtId="0" fontId="8" fillId="0" borderId="24" xfId="13" applyFont="1" applyFill="1" applyBorder="1" applyAlignment="1">
      <alignment horizontal="center" vertical="top" wrapText="1"/>
    </xf>
    <xf numFmtId="0" fontId="8" fillId="0" borderId="28" xfId="13" applyFont="1" applyFill="1" applyBorder="1" applyAlignment="1">
      <alignment horizontal="center" vertical="top" wrapText="1"/>
    </xf>
    <xf numFmtId="0" fontId="8" fillId="0" borderId="14" xfId="13" applyFont="1" applyFill="1" applyBorder="1" applyAlignment="1">
      <alignment horizontal="center" vertical="top" wrapText="1"/>
    </xf>
    <xf numFmtId="0" fontId="8" fillId="0" borderId="15" xfId="13" applyFont="1" applyFill="1" applyBorder="1" applyAlignment="1">
      <alignment horizontal="center" vertical="top" wrapText="1"/>
    </xf>
    <xf numFmtId="0" fontId="8" fillId="0" borderId="16" xfId="13" applyFont="1" applyFill="1" applyBorder="1" applyAlignment="1">
      <alignment horizontal="center" vertical="top" wrapText="1"/>
    </xf>
    <xf numFmtId="0" fontId="68" fillId="0" borderId="40" xfId="13" applyFont="1" applyFill="1" applyBorder="1" applyAlignment="1">
      <alignment horizontal="left" vertical="center" wrapText="1"/>
    </xf>
    <xf numFmtId="0" fontId="8" fillId="0" borderId="27" xfId="13" applyFont="1" applyFill="1" applyBorder="1" applyAlignment="1">
      <alignment horizontal="center" vertical="top" wrapText="1"/>
    </xf>
    <xf numFmtId="0" fontId="8" fillId="0" borderId="29" xfId="0" applyFont="1" applyBorder="1" applyAlignment="1">
      <alignment horizontal="left" vertical="top" wrapText="1"/>
    </xf>
    <xf numFmtId="0" fontId="8" fillId="0" borderId="29" xfId="0" applyFont="1" applyBorder="1" applyAlignment="1">
      <alignment horizontal="left" vertical="top" wrapText="1"/>
    </xf>
    <xf numFmtId="164" fontId="7" fillId="2" borderId="11" xfId="13" applyNumberFormat="1" applyFont="1" applyFill="1" applyBorder="1" applyAlignment="1">
      <alignment horizontal="center" vertical="center" textRotation="90" wrapText="1"/>
    </xf>
    <xf numFmtId="0" fontId="7" fillId="2" borderId="77" xfId="13" applyFont="1" applyFill="1" applyBorder="1" applyAlignment="1">
      <alignment horizontal="center" vertical="center" wrapText="1"/>
    </xf>
    <xf numFmtId="0" fontId="7" fillId="2" borderId="67" xfId="13" applyFont="1" applyFill="1" applyBorder="1" applyAlignment="1">
      <alignment horizontal="center" vertical="center" wrapText="1"/>
    </xf>
    <xf numFmtId="0" fontId="7" fillId="2" borderId="69" xfId="13" applyFont="1" applyFill="1" applyBorder="1" applyAlignment="1">
      <alignment horizontal="center" vertical="center" wrapText="1"/>
    </xf>
    <xf numFmtId="0" fontId="8" fillId="0" borderId="29" xfId="0" applyFont="1" applyBorder="1" applyAlignment="1">
      <alignment horizontal="left" vertical="top" wrapText="1"/>
    </xf>
    <xf numFmtId="0" fontId="29" fillId="5" borderId="19" xfId="13" applyNumberFormat="1" applyFont="1" applyFill="1" applyBorder="1" applyAlignment="1">
      <alignment horizontal="center" vertical="center" wrapText="1"/>
    </xf>
    <xf numFmtId="0" fontId="29" fillId="0" borderId="40" xfId="0" applyFont="1" applyBorder="1" applyAlignment="1">
      <alignment vertical="top" wrapText="1"/>
    </xf>
    <xf numFmtId="0" fontId="7" fillId="0" borderId="20" xfId="13" applyFont="1" applyBorder="1" applyAlignment="1">
      <alignment horizontal="left" vertical="top" wrapText="1"/>
    </xf>
    <xf numFmtId="3" fontId="18" fillId="0" borderId="0" xfId="0" applyNumberFormat="1" applyFont="1" applyFill="1"/>
    <xf numFmtId="3" fontId="35" fillId="10" borderId="6" xfId="14" applyNumberFormat="1" applyFont="1" applyFill="1" applyBorder="1" applyAlignment="1">
      <alignment vertical="top" wrapText="1"/>
    </xf>
    <xf numFmtId="3" fontId="35" fillId="10" borderId="6" xfId="14" applyNumberFormat="1" applyFont="1" applyFill="1" applyBorder="1" applyAlignment="1">
      <alignment horizontal="center" vertical="center" wrapText="1"/>
    </xf>
    <xf numFmtId="3" fontId="44" fillId="10" borderId="0" xfId="0" applyNumberFormat="1" applyFont="1" applyFill="1"/>
    <xf numFmtId="3" fontId="63" fillId="10" borderId="6" xfId="14" applyNumberFormat="1" applyFont="1" applyFill="1" applyBorder="1" applyAlignment="1">
      <alignment horizontal="center" vertical="center" wrapText="1"/>
    </xf>
    <xf numFmtId="0" fontId="35" fillId="10" borderId="6" xfId="6" applyFont="1" applyFill="1" applyBorder="1"/>
    <xf numFmtId="0" fontId="51" fillId="10" borderId="6" xfId="12" applyFont="1" applyFill="1" applyBorder="1"/>
    <xf numFmtId="0" fontId="50" fillId="0" borderId="6" xfId="12" applyFont="1" applyBorder="1"/>
    <xf numFmtId="0" fontId="77" fillId="0" borderId="6" xfId="12" applyFont="1" applyBorder="1"/>
    <xf numFmtId="3" fontId="18" fillId="0" borderId="0" xfId="0" applyNumberFormat="1" applyFont="1" applyFill="1" applyAlignment="1">
      <alignment horizontal="right"/>
    </xf>
    <xf numFmtId="3" fontId="44" fillId="0" borderId="0" xfId="0" applyNumberFormat="1" applyFont="1" applyFill="1" applyAlignment="1">
      <alignment horizontal="right"/>
    </xf>
    <xf numFmtId="14" fontId="4" fillId="6" borderId="0" xfId="13" applyNumberFormat="1" applyFont="1" applyFill="1" applyBorder="1" applyAlignment="1">
      <alignment wrapText="1"/>
    </xf>
    <xf numFmtId="0" fontId="4" fillId="6" borderId="0" xfId="13" applyFont="1" applyFill="1" applyBorder="1" applyAlignment="1">
      <alignment wrapText="1"/>
    </xf>
    <xf numFmtId="14" fontId="18" fillId="0" borderId="0" xfId="0" applyNumberFormat="1" applyFont="1" applyFill="1"/>
    <xf numFmtId="14" fontId="44" fillId="10" borderId="0" xfId="0" applyNumberFormat="1" applyFont="1" applyFill="1"/>
    <xf numFmtId="1" fontId="73" fillId="0" borderId="25" xfId="13" applyNumberFormat="1" applyFont="1" applyFill="1" applyBorder="1" applyAlignment="1">
      <alignment horizontal="center" vertical="top" wrapText="1"/>
    </xf>
    <xf numFmtId="1" fontId="73" fillId="0" borderId="9" xfId="13" applyNumberFormat="1" applyFont="1" applyFill="1" applyBorder="1" applyAlignment="1">
      <alignment horizontal="center" vertical="top" wrapText="1"/>
    </xf>
    <xf numFmtId="0" fontId="0" fillId="0" borderId="0" xfId="0" applyFill="1" applyBorder="1"/>
    <xf numFmtId="3" fontId="0" fillId="0" borderId="0" xfId="0" applyNumberFormat="1" applyFill="1" applyBorder="1"/>
    <xf numFmtId="0" fontId="8" fillId="6" borderId="0" xfId="13" applyFont="1" applyFill="1" applyBorder="1" applyAlignment="1">
      <alignment vertical="center" wrapText="1"/>
    </xf>
    <xf numFmtId="0" fontId="49" fillId="0" borderId="0" xfId="13" applyFont="1" applyAlignment="1">
      <alignment wrapText="1"/>
    </xf>
    <xf numFmtId="1" fontId="68" fillId="0" borderId="25" xfId="13" applyNumberFormat="1" applyFont="1" applyFill="1" applyBorder="1" applyAlignment="1">
      <alignment horizontal="center" vertical="top" wrapText="1"/>
    </xf>
    <xf numFmtId="1" fontId="39" fillId="0" borderId="6" xfId="13" applyNumberFormat="1" applyFont="1" applyFill="1" applyBorder="1" applyAlignment="1">
      <alignment horizontal="center" vertical="center" wrapText="1"/>
    </xf>
    <xf numFmtId="0" fontId="29" fillId="0" borderId="0" xfId="0" applyFont="1" applyBorder="1" applyAlignment="1">
      <alignment vertical="top" wrapText="1"/>
    </xf>
    <xf numFmtId="164" fontId="37" fillId="10" borderId="7" xfId="13" applyNumberFormat="1" applyFont="1" applyFill="1" applyBorder="1" applyAlignment="1">
      <alignment horizontal="center" vertical="center" wrapText="1"/>
    </xf>
    <xf numFmtId="1" fontId="39" fillId="0" borderId="9" xfId="13" applyNumberFormat="1" applyFont="1" applyFill="1" applyBorder="1" applyAlignment="1">
      <alignment horizontal="center" vertical="center" wrapText="1"/>
    </xf>
    <xf numFmtId="0" fontId="7" fillId="2" borderId="43" xfId="13" applyFont="1" applyFill="1" applyBorder="1" applyAlignment="1">
      <alignment horizontal="center" vertical="center" wrapText="1"/>
    </xf>
    <xf numFmtId="164" fontId="7" fillId="2" borderId="50" xfId="13" applyNumberFormat="1" applyFont="1" applyFill="1" applyBorder="1" applyAlignment="1">
      <alignment horizontal="center" vertical="center" wrapText="1"/>
    </xf>
    <xf numFmtId="164" fontId="7" fillId="2" borderId="8" xfId="13" applyNumberFormat="1" applyFont="1" applyFill="1" applyBorder="1" applyAlignment="1">
      <alignment horizontal="center" vertical="center" wrapText="1"/>
    </xf>
    <xf numFmtId="0" fontId="7" fillId="0" borderId="23" xfId="13" applyFont="1" applyBorder="1" applyAlignment="1">
      <alignment horizontal="left" vertical="top" wrapText="1"/>
    </xf>
    <xf numFmtId="0" fontId="8" fillId="0" borderId="34" xfId="13" applyFont="1" applyBorder="1" applyAlignment="1">
      <alignment horizontal="center" vertical="top" wrapText="1"/>
    </xf>
    <xf numFmtId="1" fontId="8" fillId="0" borderId="4" xfId="13" applyNumberFormat="1" applyFont="1" applyBorder="1" applyAlignment="1">
      <alignment horizontal="center" vertical="top" wrapText="1"/>
    </xf>
    <xf numFmtId="2" fontId="8" fillId="0" borderId="22" xfId="13" applyNumberFormat="1" applyFont="1" applyBorder="1" applyAlignment="1">
      <alignment horizontal="center" vertical="top" wrapText="1"/>
    </xf>
    <xf numFmtId="2" fontId="74" fillId="0" borderId="13" xfId="13" applyNumberFormat="1" applyFont="1" applyBorder="1" applyAlignment="1">
      <alignment horizontal="center" vertical="top" wrapText="1"/>
    </xf>
    <xf numFmtId="0" fontId="75" fillId="0" borderId="12" xfId="0" applyFont="1" applyBorder="1" applyAlignment="1">
      <alignment horizontal="left" vertical="top" wrapText="1"/>
    </xf>
    <xf numFmtId="0" fontId="8" fillId="0" borderId="12" xfId="13" applyFont="1" applyBorder="1" applyAlignment="1">
      <alignment horizontal="center" vertical="top" wrapText="1"/>
    </xf>
    <xf numFmtId="2" fontId="8" fillId="0" borderId="9" xfId="13" applyNumberFormat="1" applyFont="1" applyBorder="1" applyAlignment="1">
      <alignment horizontal="center" vertical="top" wrapText="1"/>
    </xf>
    <xf numFmtId="2" fontId="8" fillId="0" borderId="12" xfId="13" applyNumberFormat="1" applyFont="1" applyBorder="1" applyAlignment="1">
      <alignment horizontal="center" vertical="top" wrapText="1"/>
    </xf>
    <xf numFmtId="1" fontId="8" fillId="0" borderId="10" xfId="13" applyNumberFormat="1" applyFont="1" applyBorder="1" applyAlignment="1">
      <alignment horizontal="center" vertical="top" wrapText="1"/>
    </xf>
    <xf numFmtId="2" fontId="74" fillId="0" borderId="10" xfId="13" applyNumberFormat="1" applyFont="1" applyBorder="1" applyAlignment="1">
      <alignment horizontal="center" vertical="top" wrapText="1"/>
    </xf>
    <xf numFmtId="0" fontId="8" fillId="0" borderId="0" xfId="13" applyFont="1" applyFill="1" applyAlignment="1">
      <alignment horizontal="left" indent="2"/>
    </xf>
    <xf numFmtId="2" fontId="8" fillId="0" borderId="25" xfId="13" applyNumberFormat="1" applyFont="1" applyFill="1" applyBorder="1" applyAlignment="1">
      <alignment horizontal="center" vertical="top" wrapText="1"/>
    </xf>
    <xf numFmtId="0" fontId="8" fillId="0" borderId="49" xfId="13" applyFont="1" applyFill="1" applyBorder="1" applyAlignment="1">
      <alignment horizontal="center" vertical="top" wrapText="1"/>
    </xf>
    <xf numFmtId="2" fontId="8" fillId="0" borderId="9" xfId="13" applyNumberFormat="1" applyFont="1" applyFill="1" applyBorder="1" applyAlignment="1">
      <alignment horizontal="center" vertical="top" wrapText="1"/>
    </xf>
    <xf numFmtId="0" fontId="7" fillId="0" borderId="48" xfId="13" applyFont="1" applyFill="1" applyBorder="1" applyAlignment="1">
      <alignment horizontal="center" vertical="top" wrapText="1"/>
    </xf>
    <xf numFmtId="0" fontId="80" fillId="0" borderId="0" xfId="13" applyFont="1" applyAlignment="1">
      <alignment wrapText="1"/>
    </xf>
    <xf numFmtId="3" fontId="81" fillId="0" borderId="6" xfId="14" applyNumberFormat="1" applyFont="1" applyFill="1" applyBorder="1" applyAlignment="1">
      <alignment horizontal="center" vertical="center" wrapText="1"/>
    </xf>
    <xf numFmtId="2" fontId="35" fillId="0" borderId="6" xfId="14" applyNumberFormat="1" applyFont="1" applyFill="1" applyBorder="1" applyAlignment="1">
      <alignment horizontal="center" vertical="center" wrapText="1"/>
    </xf>
    <xf numFmtId="0" fontId="7" fillId="2" borderId="69" xfId="13" applyFont="1" applyFill="1" applyBorder="1" applyAlignment="1">
      <alignment horizontal="center" vertical="center" wrapText="1"/>
    </xf>
    <xf numFmtId="0" fontId="29" fillId="0" borderId="75" xfId="0" applyFont="1" applyBorder="1" applyAlignment="1">
      <alignment horizontal="left" vertical="top" wrapText="1"/>
    </xf>
    <xf numFmtId="0" fontId="29" fillId="0" borderId="40" xfId="0" applyFont="1" applyBorder="1" applyAlignment="1">
      <alignment vertical="top" wrapText="1"/>
    </xf>
    <xf numFmtId="0" fontId="7" fillId="0" borderId="20" xfId="13" applyFont="1" applyBorder="1" applyAlignment="1">
      <alignment horizontal="left" vertical="top" wrapText="1"/>
    </xf>
    <xf numFmtId="14" fontId="18" fillId="10" borderId="0" xfId="0" applyNumberFormat="1" applyFont="1" applyFill="1"/>
    <xf numFmtId="0" fontId="18" fillId="0" borderId="0" xfId="0" applyFont="1" applyFill="1"/>
    <xf numFmtId="4" fontId="23" fillId="0" borderId="0" xfId="0" applyNumberFormat="1" applyFont="1" applyFill="1"/>
    <xf numFmtId="49" fontId="69" fillId="0" borderId="48" xfId="13" applyNumberFormat="1" applyFont="1" applyFill="1" applyBorder="1" applyAlignment="1">
      <alignment horizontal="center" vertical="top" wrapText="1"/>
    </xf>
    <xf numFmtId="2" fontId="8" fillId="0" borderId="22" xfId="13" applyNumberFormat="1" applyFont="1" applyFill="1" applyBorder="1" applyAlignment="1">
      <alignment horizontal="center" vertical="top" wrapText="1"/>
    </xf>
    <xf numFmtId="2" fontId="25" fillId="0" borderId="25" xfId="13" applyNumberFormat="1" applyFont="1" applyFill="1" applyBorder="1" applyAlignment="1">
      <alignment horizontal="center" vertical="top" wrapText="1"/>
    </xf>
    <xf numFmtId="1" fontId="68" fillId="3" borderId="6" xfId="13" applyNumberFormat="1" applyFont="1" applyFill="1" applyBorder="1" applyAlignment="1">
      <alignment horizontal="center" vertical="top" wrapText="1"/>
    </xf>
    <xf numFmtId="49" fontId="49" fillId="0" borderId="48" xfId="13" applyNumberFormat="1" applyFont="1" applyFill="1" applyBorder="1" applyAlignment="1">
      <alignment horizontal="center" vertical="top" wrapText="1"/>
    </xf>
    <xf numFmtId="1" fontId="7" fillId="0" borderId="12" xfId="13" applyNumberFormat="1" applyFont="1" applyFill="1" applyBorder="1" applyAlignment="1">
      <alignment horizontal="center" vertical="top" wrapText="1"/>
    </xf>
    <xf numFmtId="2" fontId="25" fillId="0" borderId="58" xfId="13" applyNumberFormat="1" applyFont="1" applyFill="1" applyBorder="1" applyAlignment="1">
      <alignment horizontal="center" vertical="top" wrapText="1"/>
    </xf>
    <xf numFmtId="0" fontId="71" fillId="0" borderId="15" xfId="15" applyFont="1" applyFill="1" applyBorder="1" applyAlignment="1">
      <alignment horizontal="center" vertical="center" wrapText="1"/>
    </xf>
    <xf numFmtId="0" fontId="37" fillId="0" borderId="22" xfId="13" applyFont="1" applyFill="1" applyBorder="1" applyAlignment="1">
      <alignment horizontal="center" vertical="center" wrapText="1"/>
    </xf>
    <xf numFmtId="0" fontId="37" fillId="0" borderId="48" xfId="13" applyFont="1" applyFill="1" applyBorder="1" applyAlignment="1">
      <alignment horizontal="center" vertical="center" wrapText="1"/>
    </xf>
    <xf numFmtId="0" fontId="59" fillId="0" borderId="51" xfId="13" applyFont="1" applyFill="1" applyBorder="1" applyAlignment="1">
      <alignment horizontal="center" vertical="center" wrapText="1"/>
    </xf>
    <xf numFmtId="0" fontId="61" fillId="0" borderId="15" xfId="13" applyFont="1" applyFill="1" applyBorder="1" applyAlignment="1">
      <alignment horizontal="center" vertical="center" wrapText="1"/>
    </xf>
    <xf numFmtId="1" fontId="71" fillId="0" borderId="6" xfId="13" applyNumberFormat="1" applyFont="1" applyFill="1" applyBorder="1" applyAlignment="1">
      <alignment horizontal="center" vertical="center" wrapText="1"/>
    </xf>
    <xf numFmtId="0" fontId="58" fillId="0" borderId="15" xfId="15" applyFont="1" applyFill="1" applyBorder="1" applyAlignment="1">
      <alignment horizontal="center" vertical="center" wrapText="1"/>
    </xf>
    <xf numFmtId="0" fontId="54" fillId="0" borderId="51" xfId="13" applyFont="1" applyFill="1" applyBorder="1" applyAlignment="1">
      <alignment horizontal="center" vertical="center" wrapText="1"/>
    </xf>
    <xf numFmtId="1" fontId="37" fillId="0" borderId="23" xfId="13" applyNumberFormat="1" applyFont="1" applyFill="1" applyBorder="1" applyAlignment="1">
      <alignment horizontal="center" vertical="center" wrapText="1"/>
    </xf>
    <xf numFmtId="0" fontId="41" fillId="0" borderId="16" xfId="0" applyFont="1" applyFill="1" applyBorder="1" applyAlignment="1">
      <alignment horizontal="center" vertical="center"/>
    </xf>
    <xf numFmtId="0" fontId="37" fillId="0" borderId="49" xfId="13" applyFont="1" applyFill="1" applyBorder="1" applyAlignment="1">
      <alignment horizontal="center" vertical="center" wrapText="1"/>
    </xf>
    <xf numFmtId="0" fontId="54" fillId="0" borderId="16" xfId="13" applyFont="1" applyFill="1" applyBorder="1" applyAlignment="1">
      <alignment horizontal="center" vertical="center" wrapText="1"/>
    </xf>
    <xf numFmtId="0" fontId="61" fillId="0" borderId="16" xfId="13" applyFont="1" applyFill="1" applyBorder="1" applyAlignment="1">
      <alignment horizontal="center" vertical="center" wrapText="1"/>
    </xf>
    <xf numFmtId="1" fontId="37" fillId="0" borderId="12" xfId="13" applyNumberFormat="1" applyFont="1" applyFill="1" applyBorder="1" applyAlignment="1">
      <alignment horizontal="center" vertical="center" wrapText="1"/>
    </xf>
    <xf numFmtId="0" fontId="36" fillId="0" borderId="64" xfId="16" applyFont="1" applyFill="1" applyBorder="1" applyAlignment="1">
      <alignment horizontal="center" vertical="center" wrapText="1"/>
    </xf>
    <xf numFmtId="0" fontId="54" fillId="0" borderId="15" xfId="13" applyFont="1" applyFill="1" applyBorder="1" applyAlignment="1">
      <alignment horizontal="center" vertical="center" wrapText="1"/>
    </xf>
    <xf numFmtId="0" fontId="29" fillId="0" borderId="15" xfId="0" applyFont="1" applyFill="1" applyBorder="1" applyAlignment="1">
      <alignment horizontal="left" vertical="top" wrapText="1"/>
    </xf>
    <xf numFmtId="164" fontId="37" fillId="0" borderId="46" xfId="13" applyNumberFormat="1" applyFont="1" applyBorder="1" applyAlignment="1">
      <alignment horizontal="center" vertical="center" wrapText="1"/>
    </xf>
    <xf numFmtId="164" fontId="37" fillId="0" borderId="8" xfId="13" applyNumberFormat="1" applyFont="1" applyBorder="1" applyAlignment="1">
      <alignment horizontal="center" vertical="center" wrapText="1"/>
    </xf>
    <xf numFmtId="0" fontId="36" fillId="0" borderId="32" xfId="15" applyFont="1" applyFill="1" applyBorder="1" applyAlignment="1">
      <alignment horizontal="center" vertical="center" wrapText="1"/>
    </xf>
    <xf numFmtId="0" fontId="36" fillId="0" borderId="79" xfId="16" applyFont="1" applyFill="1" applyBorder="1" applyAlignment="1">
      <alignment horizontal="center" vertical="center" wrapText="1"/>
    </xf>
    <xf numFmtId="0" fontId="61" fillId="0" borderId="32" xfId="13" applyFont="1" applyFill="1" applyBorder="1" applyAlignment="1">
      <alignment horizontal="center" vertical="center" wrapText="1"/>
    </xf>
    <xf numFmtId="1" fontId="73" fillId="0" borderId="58" xfId="13" applyNumberFormat="1" applyFont="1" applyFill="1" applyBorder="1" applyAlignment="1">
      <alignment horizontal="center" vertical="top" wrapText="1"/>
    </xf>
    <xf numFmtId="0" fontId="39" fillId="3" borderId="15" xfId="15" applyFont="1" applyFill="1" applyBorder="1" applyAlignment="1">
      <alignment horizontal="center" vertical="center" wrapText="1"/>
    </xf>
    <xf numFmtId="0" fontId="39" fillId="0" borderId="15" xfId="15" applyFont="1" applyFill="1" applyBorder="1" applyAlignment="1">
      <alignment horizontal="center" vertical="center" wrapText="1"/>
    </xf>
    <xf numFmtId="0" fontId="36" fillId="0" borderId="51" xfId="13" applyFont="1" applyFill="1" applyBorder="1" applyAlignment="1">
      <alignment horizontal="center" vertical="center" wrapText="1"/>
    </xf>
    <xf numFmtId="3" fontId="18" fillId="0" borderId="6" xfId="0" applyNumberFormat="1" applyFont="1" applyFill="1" applyBorder="1"/>
    <xf numFmtId="2" fontId="12" fillId="0" borderId="0" xfId="13" applyNumberFormat="1" applyFont="1"/>
    <xf numFmtId="3" fontId="83" fillId="0" borderId="0" xfId="0" applyNumberFormat="1" applyFont="1" applyFill="1"/>
    <xf numFmtId="3" fontId="82" fillId="0" borderId="0" xfId="0" applyNumberFormat="1" applyFont="1" applyFill="1"/>
    <xf numFmtId="2" fontId="84" fillId="0" borderId="6" xfId="14" applyNumberFormat="1" applyFont="1" applyFill="1" applyBorder="1" applyAlignment="1">
      <alignment horizontal="center" vertical="center" wrapText="1"/>
    </xf>
    <xf numFmtId="3" fontId="84" fillId="0" borderId="6" xfId="14" applyNumberFormat="1" applyFont="1" applyFill="1" applyBorder="1" applyAlignment="1">
      <alignment horizontal="center" vertical="center" wrapText="1"/>
    </xf>
    <xf numFmtId="3" fontId="87" fillId="0" borderId="0" xfId="0" applyNumberFormat="1" applyFont="1" applyFill="1"/>
    <xf numFmtId="0" fontId="35" fillId="0" borderId="6" xfId="14" applyFont="1" applyFill="1" applyBorder="1" applyAlignment="1">
      <alignment vertical="top" wrapText="1"/>
    </xf>
    <xf numFmtId="168" fontId="84" fillId="0" borderId="6" xfId="14" applyNumberFormat="1" applyFont="1" applyFill="1" applyBorder="1" applyAlignment="1">
      <alignment horizontal="center" vertical="center" wrapText="1"/>
    </xf>
    <xf numFmtId="3" fontId="89" fillId="11" borderId="6" xfId="14" applyNumberFormat="1" applyFont="1" applyFill="1" applyBorder="1" applyAlignment="1">
      <alignment vertical="top" wrapText="1"/>
    </xf>
    <xf numFmtId="0" fontId="8" fillId="0" borderId="29" xfId="0" applyFont="1" applyBorder="1" applyAlignment="1">
      <alignment horizontal="left" vertical="top" wrapText="1"/>
    </xf>
    <xf numFmtId="3" fontId="81" fillId="10" borderId="6" xfId="14" applyNumberFormat="1" applyFont="1" applyFill="1" applyBorder="1" applyAlignment="1">
      <alignment horizontal="center" vertical="center" wrapText="1"/>
    </xf>
    <xf numFmtId="1" fontId="68" fillId="3" borderId="9" xfId="13" applyNumberFormat="1" applyFont="1" applyFill="1" applyBorder="1" applyAlignment="1">
      <alignment horizontal="center" vertical="top" wrapText="1"/>
    </xf>
    <xf numFmtId="0" fontId="36" fillId="0" borderId="51" xfId="13" applyFont="1" applyBorder="1" applyAlignment="1">
      <alignment horizontal="center" vertical="center" wrapText="1"/>
    </xf>
    <xf numFmtId="164" fontId="7" fillId="2" borderId="11" xfId="13" applyNumberFormat="1" applyFont="1" applyFill="1" applyBorder="1" applyAlignment="1">
      <alignment horizontal="center" vertical="center" textRotation="90" wrapText="1"/>
    </xf>
    <xf numFmtId="0" fontId="7" fillId="2" borderId="67" xfId="13" applyFont="1" applyFill="1" applyBorder="1" applyAlignment="1">
      <alignment horizontal="center" vertical="center" wrapText="1"/>
    </xf>
    <xf numFmtId="0" fontId="7" fillId="2" borderId="69" xfId="13" applyFont="1" applyFill="1" applyBorder="1" applyAlignment="1">
      <alignment horizontal="center" vertical="center" wrapText="1"/>
    </xf>
    <xf numFmtId="0" fontId="8" fillId="0" borderId="29" xfId="0" applyFont="1" applyBorder="1" applyAlignment="1">
      <alignment horizontal="left" vertical="top" wrapText="1"/>
    </xf>
    <xf numFmtId="0" fontId="7" fillId="0" borderId="20" xfId="13" applyFont="1" applyBorder="1" applyAlignment="1">
      <alignment horizontal="left" vertical="top" wrapText="1"/>
    </xf>
    <xf numFmtId="3" fontId="28" fillId="12" borderId="6" xfId="14" applyNumberFormat="1" applyFont="1" applyFill="1" applyBorder="1" applyAlignment="1">
      <alignment vertical="top" wrapText="1"/>
    </xf>
    <xf numFmtId="3" fontId="35" fillId="12" borderId="6" xfId="14" applyNumberFormat="1" applyFont="1" applyFill="1" applyBorder="1" applyAlignment="1">
      <alignment vertical="top" wrapText="1"/>
    </xf>
    <xf numFmtId="3" fontId="81" fillId="12" borderId="6" xfId="14" applyNumberFormat="1" applyFont="1" applyFill="1" applyBorder="1" applyAlignment="1">
      <alignment horizontal="center" vertical="center" wrapText="1"/>
    </xf>
    <xf numFmtId="3" fontId="35" fillId="12" borderId="6" xfId="14" applyNumberFormat="1" applyFont="1" applyFill="1" applyBorder="1" applyAlignment="1">
      <alignment horizontal="center" vertical="center" wrapText="1"/>
    </xf>
    <xf numFmtId="3" fontId="63" fillId="12" borderId="6" xfId="14" applyNumberFormat="1" applyFont="1" applyFill="1" applyBorder="1" applyAlignment="1">
      <alignment horizontal="center" vertical="center" wrapText="1"/>
    </xf>
    <xf numFmtId="3" fontId="23" fillId="12" borderId="0" xfId="0" applyNumberFormat="1" applyFont="1" applyFill="1"/>
    <xf numFmtId="0" fontId="18" fillId="12" borderId="0" xfId="0" applyFont="1" applyFill="1"/>
    <xf numFmtId="3" fontId="44" fillId="12" borderId="0" xfId="0" applyNumberFormat="1" applyFont="1" applyFill="1"/>
    <xf numFmtId="0" fontId="44" fillId="12" borderId="0" xfId="0" applyFont="1" applyFill="1"/>
    <xf numFmtId="3" fontId="35" fillId="12" borderId="6" xfId="6" applyNumberFormat="1" applyFont="1" applyFill="1" applyBorder="1"/>
    <xf numFmtId="1" fontId="68" fillId="3" borderId="25" xfId="13" applyNumberFormat="1" applyFont="1" applyFill="1" applyBorder="1" applyAlignment="1">
      <alignment horizontal="center" vertical="top" wrapText="1"/>
    </xf>
    <xf numFmtId="0" fontId="7" fillId="0" borderId="0" xfId="0" applyFont="1" applyFill="1" applyBorder="1" applyAlignment="1">
      <alignment horizontal="left" vertical="top" wrapText="1"/>
    </xf>
    <xf numFmtId="0" fontId="8" fillId="0" borderId="40" xfId="0" applyFont="1" applyBorder="1" applyAlignment="1">
      <alignment vertical="top" wrapText="1"/>
    </xf>
    <xf numFmtId="49" fontId="7" fillId="0" borderId="48" xfId="13" applyNumberFormat="1" applyFont="1" applyFill="1" applyBorder="1" applyAlignment="1">
      <alignment horizontal="center" vertical="top" wrapText="1"/>
    </xf>
    <xf numFmtId="0" fontId="60" fillId="0" borderId="25" xfId="13" applyFont="1" applyFill="1" applyBorder="1" applyAlignment="1">
      <alignment horizontal="center" vertical="top" wrapText="1"/>
    </xf>
    <xf numFmtId="0" fontId="8" fillId="0" borderId="74" xfId="0" applyFont="1" applyFill="1" applyBorder="1" applyAlignment="1">
      <alignment horizontal="left" vertical="top" wrapText="1"/>
    </xf>
    <xf numFmtId="49" fontId="57" fillId="0" borderId="49" xfId="13" applyNumberFormat="1" applyFont="1" applyFill="1" applyBorder="1" applyAlignment="1">
      <alignment horizontal="center" vertical="top" wrapText="1"/>
    </xf>
    <xf numFmtId="166" fontId="8" fillId="0" borderId="65" xfId="13" applyNumberFormat="1" applyFont="1" applyFill="1" applyBorder="1" applyAlignment="1">
      <alignment horizontal="center" vertical="top" wrapText="1"/>
    </xf>
    <xf numFmtId="0" fontId="60" fillId="0" borderId="9" xfId="13" applyFont="1" applyFill="1" applyBorder="1" applyAlignment="1">
      <alignment horizontal="center" vertical="top" wrapText="1"/>
    </xf>
    <xf numFmtId="1" fontId="7" fillId="0" borderId="22" xfId="13" applyNumberFormat="1" applyFont="1" applyFill="1" applyBorder="1" applyAlignment="1">
      <alignment horizontal="center" vertical="top" wrapText="1"/>
    </xf>
    <xf numFmtId="0" fontId="60" fillId="0" borderId="32" xfId="13" applyFont="1" applyFill="1" applyBorder="1" applyAlignment="1">
      <alignment horizontal="center" vertical="top" wrapText="1"/>
    </xf>
    <xf numFmtId="3" fontId="81" fillId="0" borderId="6" xfId="14" applyNumberFormat="1" applyFont="1" applyFill="1" applyBorder="1" applyAlignment="1">
      <alignment vertical="top" wrapText="1"/>
    </xf>
    <xf numFmtId="0" fontId="95" fillId="0" borderId="0" xfId="13" applyFont="1"/>
    <xf numFmtId="0" fontId="96" fillId="0" borderId="0" xfId="13" applyFont="1"/>
    <xf numFmtId="0" fontId="95" fillId="0" borderId="0" xfId="13" applyFont="1" applyAlignment="1">
      <alignment wrapText="1"/>
    </xf>
    <xf numFmtId="0" fontId="11" fillId="0" borderId="0" xfId="13" applyFont="1" applyAlignment="1" applyProtection="1">
      <alignment horizontal="left"/>
      <protection locked="0"/>
    </xf>
    <xf numFmtId="0" fontId="8" fillId="0" borderId="0" xfId="13" applyFont="1" applyProtection="1">
      <protection locked="0"/>
    </xf>
    <xf numFmtId="1" fontId="8" fillId="0" borderId="0" xfId="13" applyNumberFormat="1" applyFont="1" applyProtection="1">
      <protection locked="0"/>
    </xf>
    <xf numFmtId="164" fontId="8" fillId="0" borderId="0" xfId="13" applyNumberFormat="1" applyFont="1" applyProtection="1">
      <protection locked="0"/>
    </xf>
    <xf numFmtId="165" fontId="8" fillId="6" borderId="0" xfId="13" applyNumberFormat="1" applyFont="1" applyFill="1" applyProtection="1">
      <protection locked="0"/>
    </xf>
    <xf numFmtId="0" fontId="8" fillId="6" borderId="0" xfId="13" applyFont="1" applyFill="1" applyProtection="1">
      <protection locked="0"/>
    </xf>
    <xf numFmtId="164" fontId="8" fillId="6" borderId="0" xfId="13" applyNumberFormat="1" applyFont="1" applyFill="1" applyProtection="1">
      <protection locked="0"/>
    </xf>
    <xf numFmtId="0" fontId="12" fillId="0" borderId="0" xfId="13" applyFont="1" applyProtection="1">
      <protection locked="0"/>
    </xf>
    <xf numFmtId="1" fontId="12" fillId="0" borderId="0" xfId="13" applyNumberFormat="1" applyFont="1" applyProtection="1">
      <protection locked="0"/>
    </xf>
    <xf numFmtId="164" fontId="12" fillId="0" borderId="0" xfId="13" applyNumberFormat="1" applyFont="1" applyProtection="1">
      <protection locked="0"/>
    </xf>
    <xf numFmtId="165" fontId="12" fillId="6" borderId="0" xfId="13" applyNumberFormat="1" applyFont="1" applyFill="1" applyProtection="1">
      <protection locked="0"/>
    </xf>
    <xf numFmtId="0" fontId="12" fillId="6" borderId="0" xfId="13" applyFont="1" applyFill="1" applyProtection="1">
      <protection locked="0"/>
    </xf>
    <xf numFmtId="164" fontId="12" fillId="6" borderId="0" xfId="13" applyNumberFormat="1" applyFont="1" applyFill="1" applyProtection="1">
      <protection locked="0"/>
    </xf>
    <xf numFmtId="0" fontId="49" fillId="0" borderId="0" xfId="13" applyFont="1" applyAlignment="1" applyProtection="1">
      <alignment wrapText="1"/>
      <protection locked="0"/>
    </xf>
    <xf numFmtId="14" fontId="4" fillId="6" borderId="74" xfId="13" applyNumberFormat="1" applyFont="1" applyFill="1" applyBorder="1" applyAlignment="1" applyProtection="1">
      <alignment wrapText="1"/>
      <protection locked="0"/>
    </xf>
    <xf numFmtId="164" fontId="7" fillId="2" borderId="11" xfId="13" applyNumberFormat="1" applyFont="1" applyFill="1" applyBorder="1" applyAlignment="1">
      <alignment horizontal="center" vertical="center" textRotation="90" wrapText="1"/>
    </xf>
    <xf numFmtId="0" fontId="7" fillId="3" borderId="0" xfId="13" applyFont="1" applyFill="1" applyBorder="1" applyAlignment="1">
      <alignment horizontal="right" vertical="top" wrapText="1"/>
    </xf>
    <xf numFmtId="0" fontId="8" fillId="0" borderId="0" xfId="13" applyFont="1" applyBorder="1" applyAlignment="1">
      <alignment horizontal="right" vertical="top" wrapText="1"/>
    </xf>
    <xf numFmtId="0" fontId="3" fillId="0" borderId="0" xfId="3" applyBorder="1" applyAlignment="1" applyProtection="1">
      <alignment horizontal="right" vertical="top" wrapText="1"/>
    </xf>
    <xf numFmtId="0" fontId="7" fillId="2" borderId="67" xfId="13" applyFont="1" applyFill="1" applyBorder="1" applyAlignment="1">
      <alignment horizontal="center" vertical="center" wrapText="1"/>
    </xf>
    <xf numFmtId="0" fontId="7" fillId="2" borderId="69" xfId="13" applyFont="1" applyFill="1" applyBorder="1" applyAlignment="1">
      <alignment horizontal="center" vertical="center" wrapText="1"/>
    </xf>
    <xf numFmtId="0" fontId="7" fillId="0" borderId="0" xfId="13" applyFont="1" applyBorder="1" applyAlignment="1">
      <alignment horizontal="right" vertical="top" wrapText="1"/>
    </xf>
    <xf numFmtId="0" fontId="8" fillId="0" borderId="0" xfId="13" applyFont="1" applyBorder="1" applyAlignment="1">
      <alignment horizontal="left" wrapText="1"/>
    </xf>
    <xf numFmtId="0" fontId="7" fillId="0" borderId="20" xfId="13" applyFont="1" applyBorder="1" applyAlignment="1">
      <alignment horizontal="left" vertical="top" wrapText="1"/>
    </xf>
    <xf numFmtId="0" fontId="11" fillId="0" borderId="0" xfId="13" applyNumberFormat="1" applyFont="1" applyAlignment="1">
      <alignment horizontal="left"/>
    </xf>
    <xf numFmtId="0" fontId="8" fillId="0" borderId="0" xfId="13" applyNumberFormat="1" applyFont="1"/>
    <xf numFmtId="0" fontId="8" fillId="0" borderId="0" xfId="13" applyNumberFormat="1" applyFont="1" applyBorder="1" applyAlignment="1">
      <alignment wrapText="1"/>
    </xf>
    <xf numFmtId="1" fontId="7" fillId="7" borderId="19" xfId="13" applyNumberFormat="1" applyFont="1" applyFill="1" applyBorder="1" applyAlignment="1">
      <alignment horizontal="center" vertical="center" wrapText="1"/>
    </xf>
    <xf numFmtId="164" fontId="7" fillId="7" borderId="18" xfId="13" applyNumberFormat="1" applyFont="1" applyFill="1" applyBorder="1" applyAlignment="1">
      <alignment horizontal="center" vertical="center" wrapText="1"/>
    </xf>
    <xf numFmtId="164" fontId="7" fillId="7" borderId="42" xfId="13" applyNumberFormat="1" applyFont="1" applyFill="1" applyBorder="1" applyAlignment="1">
      <alignment horizontal="center" vertical="center" wrapText="1"/>
    </xf>
    <xf numFmtId="0" fontId="7" fillId="7" borderId="43" xfId="13" applyFont="1" applyFill="1" applyBorder="1" applyAlignment="1">
      <alignment horizontal="center" vertical="center" wrapText="1"/>
    </xf>
    <xf numFmtId="0" fontId="68" fillId="7" borderId="18" xfId="13" applyFont="1" applyFill="1" applyBorder="1" applyAlignment="1">
      <alignment horizontal="center" vertical="center" wrapText="1"/>
    </xf>
    <xf numFmtId="0" fontId="7" fillId="0" borderId="27" xfId="13" applyFont="1" applyBorder="1" applyAlignment="1">
      <alignment vertical="top" wrapText="1"/>
    </xf>
    <xf numFmtId="0" fontId="8" fillId="0" borderId="14" xfId="13" applyNumberFormat="1" applyFont="1" applyBorder="1" applyAlignment="1">
      <alignment horizontal="center" vertical="top" wrapText="1"/>
    </xf>
    <xf numFmtId="0" fontId="8" fillId="0" borderId="36" xfId="13" applyFont="1" applyBorder="1" applyAlignment="1">
      <alignment horizontal="center" vertical="top" wrapText="1"/>
    </xf>
    <xf numFmtId="0" fontId="8" fillId="0" borderId="27" xfId="13" applyFont="1" applyBorder="1" applyAlignment="1">
      <alignment horizontal="center" vertical="top" wrapText="1"/>
    </xf>
    <xf numFmtId="166" fontId="8" fillId="0" borderId="4" xfId="13" applyNumberFormat="1" applyFont="1" applyBorder="1" applyAlignment="1">
      <alignment horizontal="center" vertical="top" wrapText="1"/>
    </xf>
    <xf numFmtId="4" fontId="97" fillId="0" borderId="4" xfId="13" applyNumberFormat="1" applyFont="1" applyBorder="1" applyAlignment="1">
      <alignment horizontal="center" vertical="top" wrapText="1"/>
    </xf>
    <xf numFmtId="0" fontId="7" fillId="0" borderId="24" xfId="13" applyFont="1" applyBorder="1" applyAlignment="1">
      <alignment vertical="top" wrapText="1"/>
    </xf>
    <xf numFmtId="0" fontId="8" fillId="0" borderId="15" xfId="13" applyNumberFormat="1" applyFont="1" applyBorder="1" applyAlignment="1">
      <alignment horizontal="center" vertical="top" wrapText="1"/>
    </xf>
    <xf numFmtId="0" fontId="8" fillId="0" borderId="30" xfId="13" applyFont="1" applyBorder="1" applyAlignment="1">
      <alignment horizontal="center" vertical="top" wrapText="1"/>
    </xf>
    <xf numFmtId="0" fontId="8" fillId="0" borderId="24" xfId="13" applyFont="1" applyBorder="1" applyAlignment="1">
      <alignment horizontal="center" vertical="top" wrapText="1"/>
    </xf>
    <xf numFmtId="166" fontId="8" fillId="0" borderId="7" xfId="13" applyNumberFormat="1" applyFont="1" applyBorder="1" applyAlignment="1">
      <alignment horizontal="center" vertical="top" wrapText="1"/>
    </xf>
    <xf numFmtId="4" fontId="97" fillId="0" borderId="7" xfId="13" applyNumberFormat="1" applyFont="1" applyBorder="1" applyAlignment="1">
      <alignment horizontal="center" vertical="top" wrapText="1"/>
    </xf>
    <xf numFmtId="0" fontId="7" fillId="0" borderId="28" xfId="13" applyFont="1" applyBorder="1" applyAlignment="1">
      <alignment vertical="top" wrapText="1"/>
    </xf>
    <xf numFmtId="0" fontId="8" fillId="0" borderId="16" xfId="13" applyNumberFormat="1" applyFont="1" applyBorder="1" applyAlignment="1">
      <alignment horizontal="center" vertical="top" wrapText="1"/>
    </xf>
    <xf numFmtId="0" fontId="8" fillId="0" borderId="17" xfId="13" applyFont="1" applyBorder="1" applyAlignment="1">
      <alignment horizontal="center" vertical="top" wrapText="1"/>
    </xf>
    <xf numFmtId="0" fontId="8" fillId="0" borderId="28" xfId="13" applyFont="1" applyBorder="1" applyAlignment="1">
      <alignment horizontal="center" vertical="top" wrapText="1"/>
    </xf>
    <xf numFmtId="166" fontId="8" fillId="0" borderId="10" xfId="13" applyNumberFormat="1" applyFont="1" applyBorder="1" applyAlignment="1">
      <alignment horizontal="center" vertical="top" wrapText="1"/>
    </xf>
    <xf numFmtId="4" fontId="97" fillId="0" borderId="10" xfId="13" applyNumberFormat="1" applyFont="1" applyBorder="1" applyAlignment="1">
      <alignment horizontal="center" vertical="top" wrapText="1"/>
    </xf>
    <xf numFmtId="10" fontId="76" fillId="0" borderId="0" xfId="13" applyNumberFormat="1" applyFont="1"/>
    <xf numFmtId="0" fontId="8" fillId="0" borderId="0" xfId="13" applyNumberFormat="1" applyFont="1" applyAlignment="1">
      <alignment horizontal="left" wrapText="1"/>
    </xf>
    <xf numFmtId="0" fontId="8" fillId="0" borderId="0" xfId="13" applyNumberFormat="1" applyFont="1" applyAlignment="1">
      <alignment horizontal="left"/>
    </xf>
    <xf numFmtId="0" fontId="8" fillId="0" borderId="0" xfId="13" applyNumberFormat="1" applyFont="1" applyAlignment="1">
      <alignment horizontal="left" indent="2"/>
    </xf>
    <xf numFmtId="0" fontId="76" fillId="0" borderId="0" xfId="13" applyFont="1" applyAlignment="1">
      <alignment horizontal="left"/>
    </xf>
    <xf numFmtId="2" fontId="73" fillId="0" borderId="28" xfId="13" applyNumberFormat="1" applyFont="1" applyBorder="1" applyAlignment="1">
      <alignment vertical="top" wrapText="1"/>
    </xf>
    <xf numFmtId="0" fontId="75" fillId="0" borderId="16" xfId="13" applyNumberFormat="1" applyFont="1" applyBorder="1" applyAlignment="1">
      <alignment horizontal="center" vertical="top" wrapText="1"/>
    </xf>
    <xf numFmtId="0" fontId="75" fillId="0" borderId="8" xfId="13" applyFont="1" applyBorder="1" applyAlignment="1">
      <alignment horizontal="center" vertical="top" wrapText="1"/>
    </xf>
    <xf numFmtId="0" fontId="75" fillId="0" borderId="17" xfId="13" applyFont="1" applyBorder="1" applyAlignment="1">
      <alignment horizontal="center" vertical="top" wrapText="1"/>
    </xf>
    <xf numFmtId="1" fontId="75" fillId="0" borderId="28" xfId="13" applyNumberFormat="1" applyFont="1" applyBorder="1" applyAlignment="1">
      <alignment horizontal="center" vertical="top" wrapText="1"/>
    </xf>
    <xf numFmtId="1" fontId="75" fillId="0" borderId="10" xfId="13" applyNumberFormat="1" applyFont="1" applyBorder="1" applyAlignment="1">
      <alignment horizontal="center" vertical="top" wrapText="1"/>
    </xf>
    <xf numFmtId="0" fontId="73" fillId="0" borderId="16" xfId="13" applyFont="1" applyBorder="1" applyAlignment="1">
      <alignment horizontal="center" vertical="top" wrapText="1"/>
    </xf>
    <xf numFmtId="1" fontId="75" fillId="0" borderId="8" xfId="13" applyNumberFormat="1" applyFont="1" applyBorder="1" applyAlignment="1">
      <alignment horizontal="center" vertical="top" wrapText="1"/>
    </xf>
    <xf numFmtId="166" fontId="75" fillId="0" borderId="10" xfId="13" applyNumberFormat="1" applyFont="1" applyBorder="1" applyAlignment="1">
      <alignment horizontal="center" vertical="top" wrapText="1"/>
    </xf>
    <xf numFmtId="167" fontId="75" fillId="0" borderId="12" xfId="13" applyNumberFormat="1" applyFont="1" applyBorder="1" applyAlignment="1">
      <alignment horizontal="center" vertical="top" wrapText="1"/>
    </xf>
    <xf numFmtId="167" fontId="75" fillId="0" borderId="10" xfId="13" applyNumberFormat="1" applyFont="1" applyBorder="1" applyAlignment="1">
      <alignment horizontal="center" vertical="top" wrapText="1"/>
    </xf>
    <xf numFmtId="4" fontId="97" fillId="0" borderId="13" xfId="13" applyNumberFormat="1" applyFont="1" applyBorder="1" applyAlignment="1">
      <alignment horizontal="center" vertical="top" wrapText="1"/>
    </xf>
    <xf numFmtId="4" fontId="97" fillId="0" borderId="68" xfId="13" applyNumberFormat="1" applyFont="1" applyBorder="1" applyAlignment="1">
      <alignment horizontal="center" vertical="top" wrapText="1"/>
    </xf>
    <xf numFmtId="0" fontId="7" fillId="0" borderId="3" xfId="13" applyFont="1" applyBorder="1" applyAlignment="1">
      <alignment horizontal="center" vertical="top" wrapText="1"/>
    </xf>
    <xf numFmtId="0" fontId="7" fillId="0" borderId="6" xfId="13" applyFont="1" applyBorder="1" applyAlignment="1">
      <alignment horizontal="center" vertical="top" wrapText="1"/>
    </xf>
    <xf numFmtId="0" fontId="73" fillId="0" borderId="9" xfId="13" applyFont="1" applyBorder="1" applyAlignment="1">
      <alignment horizontal="center" vertical="top" wrapText="1"/>
    </xf>
    <xf numFmtId="0" fontId="75" fillId="0" borderId="0" xfId="13" applyFont="1"/>
    <xf numFmtId="10" fontId="75" fillId="0" borderId="0" xfId="13" applyNumberFormat="1" applyFont="1"/>
    <xf numFmtId="0" fontId="98" fillId="0" borderId="0" xfId="13" applyFont="1"/>
    <xf numFmtId="0" fontId="75" fillId="6" borderId="0" xfId="13" applyFont="1" applyFill="1" applyBorder="1" applyAlignment="1">
      <alignment wrapText="1"/>
    </xf>
    <xf numFmtId="0" fontId="75" fillId="0" borderId="0" xfId="13" applyNumberFormat="1" applyFont="1" applyAlignment="1">
      <alignment wrapText="1"/>
    </xf>
    <xf numFmtId="0" fontId="75" fillId="0" borderId="0" xfId="13" applyFont="1" applyBorder="1" applyAlignment="1"/>
    <xf numFmtId="1" fontId="75" fillId="6" borderId="0" xfId="13" applyNumberFormat="1" applyFont="1" applyFill="1" applyBorder="1" applyAlignment="1">
      <alignment wrapText="1"/>
    </xf>
    <xf numFmtId="0" fontId="75" fillId="0" borderId="0" xfId="13" applyFont="1" applyBorder="1" applyAlignment="1">
      <alignment wrapText="1"/>
    </xf>
    <xf numFmtId="0" fontId="75" fillId="0" borderId="0" xfId="13" applyFont="1" applyAlignment="1">
      <alignment wrapText="1"/>
    </xf>
    <xf numFmtId="9" fontId="75" fillId="0" borderId="0" xfId="13" applyNumberFormat="1" applyFont="1" applyAlignment="1">
      <alignment wrapText="1"/>
    </xf>
    <xf numFmtId="1" fontId="75" fillId="6" borderId="0" xfId="13" applyNumberFormat="1" applyFont="1" applyFill="1" applyBorder="1" applyAlignment="1"/>
    <xf numFmtId="165" fontId="75" fillId="6" borderId="0" xfId="13" applyNumberFormat="1" applyFont="1" applyFill="1" applyBorder="1" applyAlignment="1">
      <alignment wrapText="1"/>
    </xf>
    <xf numFmtId="0" fontId="99" fillId="0" borderId="0" xfId="3" applyFont="1" applyBorder="1" applyAlignment="1" applyProtection="1">
      <alignment vertical="top" wrapText="1"/>
    </xf>
    <xf numFmtId="49" fontId="75" fillId="0" borderId="48" xfId="13" applyNumberFormat="1" applyFont="1" applyFill="1" applyBorder="1" applyAlignment="1">
      <alignment horizontal="center" vertical="top" wrapText="1"/>
    </xf>
    <xf numFmtId="14" fontId="4" fillId="6" borderId="0" xfId="13" applyNumberFormat="1" applyFont="1" applyFill="1" applyBorder="1" applyAlignment="1" applyProtection="1">
      <alignment wrapText="1"/>
      <protection locked="0"/>
    </xf>
    <xf numFmtId="0" fontId="7" fillId="2" borderId="0" xfId="13" applyFont="1" applyFill="1" applyBorder="1" applyAlignment="1">
      <alignment horizontal="center" vertical="center" wrapText="1"/>
    </xf>
    <xf numFmtId="0" fontId="26" fillId="2" borderId="0" xfId="13" applyFont="1" applyFill="1" applyBorder="1" applyAlignment="1">
      <alignment horizontal="center" vertical="center" wrapText="1"/>
    </xf>
    <xf numFmtId="2" fontId="25" fillId="3" borderId="0" xfId="13" applyNumberFormat="1" applyFont="1" applyFill="1" applyBorder="1" applyAlignment="1">
      <alignment horizontal="center" vertical="top" wrapText="1"/>
    </xf>
    <xf numFmtId="0" fontId="101" fillId="6" borderId="0" xfId="13" applyFont="1" applyFill="1" applyBorder="1" applyAlignment="1">
      <alignment wrapText="1"/>
    </xf>
    <xf numFmtId="3" fontId="101" fillId="6" borderId="0" xfId="13" applyNumberFormat="1" applyFont="1" applyFill="1" applyBorder="1" applyAlignment="1">
      <alignment wrapText="1"/>
    </xf>
    <xf numFmtId="4" fontId="8" fillId="0" borderId="4" xfId="13" applyNumberFormat="1" applyFont="1" applyBorder="1" applyAlignment="1">
      <alignment horizontal="center" vertical="top" wrapText="1"/>
    </xf>
    <xf numFmtId="4" fontId="8" fillId="0" borderId="7" xfId="13" applyNumberFormat="1" applyFont="1" applyBorder="1" applyAlignment="1">
      <alignment horizontal="center" vertical="top" wrapText="1"/>
    </xf>
    <xf numFmtId="4" fontId="8" fillId="0" borderId="10" xfId="13" applyNumberFormat="1" applyFont="1" applyBorder="1" applyAlignment="1">
      <alignment horizontal="center" vertical="top" wrapText="1"/>
    </xf>
    <xf numFmtId="4" fontId="8" fillId="0" borderId="13" xfId="13" applyNumberFormat="1" applyFont="1" applyBorder="1" applyAlignment="1">
      <alignment horizontal="center" vertical="top" wrapText="1"/>
    </xf>
    <xf numFmtId="4" fontId="8" fillId="0" borderId="68" xfId="13" applyNumberFormat="1" applyFont="1" applyBorder="1" applyAlignment="1">
      <alignment horizontal="center" vertical="top" wrapText="1"/>
    </xf>
    <xf numFmtId="0" fontId="100" fillId="8" borderId="0" xfId="13" applyFont="1" applyFill="1" applyBorder="1" applyAlignment="1">
      <alignment wrapText="1"/>
    </xf>
    <xf numFmtId="0" fontId="11" fillId="8" borderId="0" xfId="13" applyFont="1" applyFill="1" applyBorder="1" applyAlignment="1">
      <alignment horizontal="left"/>
    </xf>
    <xf numFmtId="0" fontId="11" fillId="8" borderId="0" xfId="13" applyNumberFormat="1" applyFont="1" applyFill="1" applyBorder="1" applyAlignment="1">
      <alignment horizontal="left"/>
    </xf>
    <xf numFmtId="0" fontId="8" fillId="8" borderId="0" xfId="13" applyFont="1" applyFill="1" applyBorder="1"/>
    <xf numFmtId="0" fontId="7" fillId="8" borderId="0" xfId="13" applyFont="1" applyFill="1" applyBorder="1"/>
    <xf numFmtId="0" fontId="12" fillId="8" borderId="0" xfId="13" applyFont="1" applyFill="1" applyBorder="1"/>
    <xf numFmtId="0" fontId="11" fillId="8" borderId="0" xfId="13" applyFont="1" applyFill="1" applyBorder="1"/>
    <xf numFmtId="1" fontId="12" fillId="8" borderId="0" xfId="13" applyNumberFormat="1" applyFont="1" applyFill="1" applyBorder="1"/>
    <xf numFmtId="0" fontId="49" fillId="8" borderId="0" xfId="13" applyFont="1" applyFill="1" applyBorder="1" applyAlignment="1">
      <alignment wrapText="1"/>
    </xf>
    <xf numFmtId="0" fontId="8" fillId="8" borderId="0" xfId="13" applyFont="1" applyFill="1" applyBorder="1" applyAlignment="1">
      <alignment wrapText="1"/>
    </xf>
    <xf numFmtId="3" fontId="102" fillId="6" borderId="0" xfId="13" applyNumberFormat="1" applyFont="1" applyFill="1" applyBorder="1" applyAlignment="1">
      <alignment wrapText="1"/>
    </xf>
    <xf numFmtId="2" fontId="25" fillId="0" borderId="0" xfId="13" applyNumberFormat="1" applyFont="1" applyFill="1" applyBorder="1" applyAlignment="1">
      <alignment horizontal="center" vertical="top" wrapText="1"/>
    </xf>
    <xf numFmtId="0" fontId="7" fillId="3" borderId="0" xfId="13" applyFont="1" applyFill="1" applyBorder="1" applyAlignment="1">
      <alignment vertical="top" wrapText="1"/>
    </xf>
    <xf numFmtId="0" fontId="76" fillId="0" borderId="0" xfId="13" applyFont="1" applyProtection="1">
      <protection locked="0"/>
    </xf>
    <xf numFmtId="0" fontId="103" fillId="0" borderId="0" xfId="13" applyFont="1" applyProtection="1">
      <protection locked="0"/>
    </xf>
    <xf numFmtId="0" fontId="103" fillId="0" borderId="0" xfId="13" applyFont="1"/>
    <xf numFmtId="2" fontId="103" fillId="0" borderId="0" xfId="13" applyNumberFormat="1" applyFont="1"/>
    <xf numFmtId="10" fontId="103" fillId="0" borderId="0" xfId="13" applyNumberFormat="1" applyFont="1"/>
    <xf numFmtId="14" fontId="104" fillId="6" borderId="0" xfId="13" applyNumberFormat="1" applyFont="1" applyFill="1" applyBorder="1" applyAlignment="1" applyProtection="1">
      <alignment wrapText="1"/>
      <protection locked="0"/>
    </xf>
    <xf numFmtId="3" fontId="76" fillId="6" borderId="0" xfId="13" applyNumberFormat="1" applyFont="1" applyFill="1" applyBorder="1" applyAlignment="1">
      <alignment wrapText="1"/>
    </xf>
    <xf numFmtId="10" fontId="76" fillId="0" borderId="0" xfId="13" applyNumberFormat="1" applyFont="1" applyAlignment="1">
      <alignment wrapText="1"/>
    </xf>
    <xf numFmtId="0" fontId="68" fillId="2" borderId="0" xfId="13" applyFont="1" applyFill="1" applyBorder="1" applyAlignment="1">
      <alignment horizontal="center" vertical="center" wrapText="1"/>
    </xf>
    <xf numFmtId="0" fontId="72" fillId="2" borderId="0" xfId="13" applyFont="1" applyFill="1" applyBorder="1" applyAlignment="1">
      <alignment horizontal="center" vertical="center" wrapText="1"/>
    </xf>
    <xf numFmtId="2" fontId="74" fillId="3" borderId="0" xfId="13" applyNumberFormat="1" applyFont="1" applyFill="1" applyBorder="1" applyAlignment="1">
      <alignment horizontal="center" vertical="top" wrapText="1"/>
    </xf>
    <xf numFmtId="2" fontId="76" fillId="0" borderId="0" xfId="13" applyNumberFormat="1" applyFont="1"/>
    <xf numFmtId="167" fontId="76" fillId="0" borderId="0" xfId="13" applyNumberFormat="1" applyFont="1"/>
    <xf numFmtId="0" fontId="76" fillId="3" borderId="0" xfId="13" applyFont="1" applyFill="1" applyBorder="1"/>
    <xf numFmtId="0" fontId="68" fillId="3" borderId="0" xfId="13" applyFont="1" applyFill="1" applyBorder="1" applyAlignment="1">
      <alignment horizontal="right" vertical="top" wrapText="1"/>
    </xf>
    <xf numFmtId="0" fontId="76" fillId="0" borderId="0" xfId="13" applyFont="1" applyBorder="1" applyAlignment="1">
      <alignment horizontal="right" vertical="top" wrapText="1"/>
    </xf>
    <xf numFmtId="0" fontId="105" fillId="0" borderId="0" xfId="3" applyFont="1" applyBorder="1" applyAlignment="1" applyProtection="1">
      <alignment horizontal="right" vertical="top" wrapText="1"/>
    </xf>
    <xf numFmtId="0" fontId="105" fillId="0" borderId="0" xfId="3" applyFont="1" applyBorder="1" applyAlignment="1" applyProtection="1">
      <alignment vertical="top" wrapText="1"/>
    </xf>
    <xf numFmtId="0" fontId="68" fillId="0" borderId="0" xfId="13" applyFont="1" applyBorder="1" applyAlignment="1">
      <alignment vertical="top"/>
    </xf>
    <xf numFmtId="0" fontId="76" fillId="0" borderId="0" xfId="13" applyFont="1" applyBorder="1" applyAlignment="1">
      <alignment vertical="top"/>
    </xf>
    <xf numFmtId="10" fontId="106" fillId="0" borderId="0" xfId="0" applyNumberFormat="1" applyFont="1"/>
    <xf numFmtId="0" fontId="104" fillId="6" borderId="0" xfId="13" applyFont="1" applyFill="1" applyBorder="1" applyAlignment="1">
      <alignment wrapText="1"/>
    </xf>
    <xf numFmtId="0" fontId="68" fillId="0" borderId="0" xfId="13" applyFont="1" applyBorder="1" applyAlignment="1">
      <alignment horizontal="right" vertical="top" wrapText="1"/>
    </xf>
    <xf numFmtId="10" fontId="107" fillId="0" borderId="0" xfId="0" applyNumberFormat="1" applyFont="1"/>
    <xf numFmtId="167" fontId="107" fillId="0" borderId="0" xfId="0" applyNumberFormat="1" applyFont="1"/>
    <xf numFmtId="2" fontId="74" fillId="0" borderId="0" xfId="13" applyNumberFormat="1" applyFont="1" applyFill="1" applyBorder="1" applyAlignment="1">
      <alignment horizontal="center" vertical="top" wrapText="1"/>
    </xf>
    <xf numFmtId="2" fontId="107" fillId="0" borderId="0" xfId="0" applyNumberFormat="1" applyFont="1"/>
    <xf numFmtId="0" fontId="76" fillId="0" borderId="0" xfId="13" applyFont="1" applyFill="1"/>
    <xf numFmtId="0" fontId="108" fillId="3" borderId="0" xfId="0" applyFont="1" applyFill="1" applyAlignment="1">
      <alignment vertical="center"/>
    </xf>
    <xf numFmtId="164" fontId="103" fillId="6" borderId="0" xfId="13" applyNumberFormat="1" applyFont="1" applyFill="1"/>
    <xf numFmtId="3" fontId="76" fillId="6" borderId="0" xfId="13" applyNumberFormat="1" applyFont="1" applyFill="1" applyBorder="1" applyAlignment="1"/>
    <xf numFmtId="0" fontId="109" fillId="5" borderId="0" xfId="13" applyNumberFormat="1" applyFont="1" applyFill="1" applyBorder="1" applyAlignment="1">
      <alignment horizontal="center" vertical="center" wrapText="1"/>
    </xf>
    <xf numFmtId="1" fontId="104" fillId="6" borderId="0" xfId="13" applyNumberFormat="1" applyFont="1" applyFill="1" applyBorder="1" applyAlignment="1">
      <alignment wrapText="1"/>
    </xf>
    <xf numFmtId="0" fontId="109" fillId="3" borderId="0" xfId="0" applyFont="1" applyFill="1" applyAlignment="1">
      <alignment vertical="center"/>
    </xf>
    <xf numFmtId="2" fontId="110" fillId="0" borderId="0" xfId="13" applyNumberFormat="1" applyFont="1" applyBorder="1" applyAlignment="1">
      <alignment horizontal="center" vertical="center" wrapText="1"/>
    </xf>
    <xf numFmtId="14" fontId="104" fillId="6" borderId="0" xfId="13" applyNumberFormat="1" applyFont="1" applyFill="1" applyBorder="1" applyAlignment="1">
      <alignment wrapText="1"/>
    </xf>
    <xf numFmtId="0" fontId="68" fillId="3" borderId="0" xfId="13" applyFont="1" applyFill="1" applyBorder="1" applyAlignment="1">
      <alignment vertical="top" wrapText="1"/>
    </xf>
    <xf numFmtId="0" fontId="76" fillId="0" borderId="0" xfId="13" applyFont="1" applyBorder="1" applyAlignment="1">
      <alignment vertical="top" wrapText="1"/>
    </xf>
    <xf numFmtId="3" fontId="28" fillId="12" borderId="6" xfId="14" applyNumberFormat="1" applyFont="1" applyFill="1" applyBorder="1" applyAlignment="1">
      <alignment horizontal="center" vertical="top" wrapText="1"/>
    </xf>
    <xf numFmtId="3" fontId="28" fillId="10" borderId="6" xfId="14" applyNumberFormat="1" applyFont="1" applyFill="1" applyBorder="1" applyAlignment="1">
      <alignment vertical="top" wrapText="1"/>
    </xf>
    <xf numFmtId="49" fontId="8" fillId="13" borderId="31" xfId="13" applyNumberFormat="1" applyFont="1" applyFill="1" applyBorder="1" applyAlignment="1">
      <alignment horizontal="center" vertical="top" wrapText="1"/>
    </xf>
    <xf numFmtId="1" fontId="37" fillId="13" borderId="5" xfId="13" applyNumberFormat="1" applyFont="1" applyFill="1" applyBorder="1" applyAlignment="1">
      <alignment horizontal="center" vertical="center" wrapText="1"/>
    </xf>
    <xf numFmtId="0" fontId="36" fillId="13" borderId="15" xfId="15" applyFont="1" applyFill="1" applyBorder="1" applyAlignment="1">
      <alignment horizontal="center" vertical="center" wrapText="1"/>
    </xf>
    <xf numFmtId="0" fontId="37" fillId="13" borderId="15" xfId="0" applyFont="1" applyFill="1" applyBorder="1" applyAlignment="1">
      <alignment horizontal="center" vertical="center" wrapText="1"/>
    </xf>
    <xf numFmtId="1" fontId="37" fillId="13" borderId="8" xfId="13" applyNumberFormat="1" applyFont="1" applyFill="1" applyBorder="1" applyAlignment="1">
      <alignment horizontal="center" vertical="center" wrapText="1"/>
    </xf>
    <xf numFmtId="164" fontId="37" fillId="0" borderId="5" xfId="13" applyNumberFormat="1" applyFont="1" applyBorder="1" applyAlignment="1">
      <alignment horizontal="center" vertical="center" wrapText="1"/>
    </xf>
    <xf numFmtId="1" fontId="37" fillId="13" borderId="2" xfId="13" applyNumberFormat="1" applyFont="1" applyFill="1" applyBorder="1" applyAlignment="1">
      <alignment horizontal="center" vertical="center" wrapText="1"/>
    </xf>
    <xf numFmtId="0" fontId="8" fillId="0" borderId="0" xfId="13" applyFont="1" applyBorder="1" applyAlignment="1">
      <alignment horizontal="left" wrapText="1"/>
    </xf>
    <xf numFmtId="0" fontId="8" fillId="0" borderId="14" xfId="13" applyFont="1" applyBorder="1" applyAlignment="1">
      <alignment horizontal="center" vertical="top" wrapText="1"/>
    </xf>
    <xf numFmtId="0" fontId="8" fillId="0" borderId="15" xfId="13" applyFont="1" applyBorder="1" applyAlignment="1">
      <alignment horizontal="center" vertical="top" wrapText="1"/>
    </xf>
    <xf numFmtId="0" fontId="8" fillId="0" borderId="16" xfId="13" applyFont="1" applyBorder="1" applyAlignment="1">
      <alignment horizontal="center" vertical="top" wrapText="1"/>
    </xf>
    <xf numFmtId="166" fontId="8" fillId="0" borderId="13" xfId="13" applyNumberFormat="1" applyFont="1" applyBorder="1" applyAlignment="1">
      <alignment horizontal="center" vertical="top" wrapText="1"/>
    </xf>
    <xf numFmtId="166" fontId="8" fillId="0" borderId="68" xfId="13" applyNumberFormat="1" applyFont="1" applyBorder="1" applyAlignment="1">
      <alignment horizontal="center" vertical="top" wrapText="1"/>
    </xf>
    <xf numFmtId="167" fontId="8" fillId="0" borderId="67" xfId="13" applyNumberFormat="1" applyFont="1" applyBorder="1" applyAlignment="1">
      <alignment horizontal="center" vertical="top" wrapText="1"/>
    </xf>
    <xf numFmtId="167" fontId="8" fillId="0" borderId="68" xfId="13" applyNumberFormat="1" applyFont="1" applyBorder="1" applyAlignment="1">
      <alignment horizontal="center" vertical="top" wrapText="1"/>
    </xf>
    <xf numFmtId="0" fontId="37" fillId="0" borderId="16" xfId="0" applyFont="1" applyFill="1" applyBorder="1" applyAlignment="1">
      <alignment horizontal="center" vertical="center" wrapText="1"/>
    </xf>
    <xf numFmtId="0" fontId="36" fillId="0" borderId="5" xfId="13" applyFont="1" applyFill="1" applyBorder="1" applyAlignment="1">
      <alignment horizontal="center" vertical="center" wrapText="1"/>
    </xf>
    <xf numFmtId="0" fontId="36" fillId="0" borderId="15" xfId="13" applyFont="1" applyFill="1" applyBorder="1" applyAlignment="1">
      <alignment horizontal="center" vertical="center" wrapText="1"/>
    </xf>
    <xf numFmtId="0" fontId="29" fillId="0" borderId="16" xfId="0" applyFont="1" applyFill="1" applyBorder="1" applyAlignment="1">
      <alignment horizontal="left" vertical="top" wrapText="1"/>
    </xf>
    <xf numFmtId="0" fontId="36" fillId="0" borderId="16" xfId="15" applyFont="1" applyFill="1" applyBorder="1" applyAlignment="1">
      <alignment horizontal="center" vertical="center" wrapText="1"/>
    </xf>
    <xf numFmtId="0" fontId="37" fillId="0" borderId="32" xfId="0" applyFont="1" applyFill="1" applyBorder="1" applyAlignment="1">
      <alignment horizontal="center" vertical="center" wrapText="1"/>
    </xf>
    <xf numFmtId="0" fontId="54" fillId="0" borderId="44" xfId="13"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72" xfId="13" applyFont="1" applyFill="1" applyBorder="1" applyAlignment="1">
      <alignment horizontal="center" vertical="center" wrapText="1"/>
    </xf>
    <xf numFmtId="0" fontId="54" fillId="0" borderId="2" xfId="13" applyFont="1" applyFill="1" applyBorder="1" applyAlignment="1">
      <alignment horizontal="center" vertical="center" wrapText="1"/>
    </xf>
    <xf numFmtId="164" fontId="37" fillId="0" borderId="59" xfId="13" applyNumberFormat="1" applyFont="1" applyFill="1" applyBorder="1" applyAlignment="1">
      <alignment horizontal="center" vertical="center" wrapText="1"/>
    </xf>
    <xf numFmtId="164" fontId="37" fillId="0" borderId="65" xfId="13" applyNumberFormat="1" applyFont="1" applyFill="1" applyBorder="1" applyAlignment="1">
      <alignment horizontal="center" vertical="center" wrapText="1"/>
    </xf>
    <xf numFmtId="0" fontId="7" fillId="3" borderId="0" xfId="13" applyFont="1" applyFill="1" applyBorder="1" applyAlignment="1">
      <alignment horizontal="right" vertical="top" wrapText="1"/>
    </xf>
    <xf numFmtId="0" fontId="8" fillId="0" borderId="0" xfId="13" applyFont="1" applyBorder="1" applyAlignment="1">
      <alignment horizontal="right" vertical="top" wrapText="1"/>
    </xf>
    <xf numFmtId="0" fontId="3" fillId="0" borderId="0" xfId="3" applyBorder="1" applyAlignment="1" applyProtection="1">
      <alignment horizontal="right" vertical="top" wrapText="1"/>
    </xf>
    <xf numFmtId="0" fontId="7" fillId="0" borderId="0" xfId="13" applyFont="1" applyBorder="1" applyAlignment="1">
      <alignment horizontal="right" vertical="top" wrapText="1"/>
    </xf>
    <xf numFmtId="0" fontId="7" fillId="13" borderId="14" xfId="13" applyFont="1" applyFill="1" applyBorder="1" applyAlignment="1">
      <alignment horizontal="center" vertical="top" wrapText="1"/>
    </xf>
    <xf numFmtId="1" fontId="112" fillId="3" borderId="0" xfId="13" applyNumberFormat="1" applyFont="1" applyFill="1" applyBorder="1" applyAlignment="1">
      <alignment horizontal="center" vertical="top" wrapText="1"/>
    </xf>
    <xf numFmtId="1" fontId="112" fillId="0" borderId="0" xfId="13" applyNumberFormat="1" applyFont="1" applyFill="1" applyBorder="1" applyAlignment="1">
      <alignment horizontal="center" vertical="top" wrapText="1"/>
    </xf>
    <xf numFmtId="1" fontId="37" fillId="0" borderId="0" xfId="13" applyNumberFormat="1" applyFont="1" applyBorder="1" applyAlignment="1">
      <alignment horizontal="center" vertical="center" wrapText="1"/>
    </xf>
    <xf numFmtId="14" fontId="6" fillId="6" borderId="0" xfId="13" applyNumberFormat="1" applyFont="1" applyFill="1" applyBorder="1" applyAlignment="1" applyProtection="1">
      <alignment wrapText="1"/>
      <protection locked="0"/>
    </xf>
    <xf numFmtId="0" fontId="7" fillId="0" borderId="20" xfId="13" applyFont="1" applyBorder="1" applyAlignment="1">
      <alignment horizontal="left" vertical="top" wrapText="1"/>
    </xf>
    <xf numFmtId="167" fontId="8" fillId="0" borderId="65" xfId="13" applyNumberFormat="1" applyFont="1" applyFill="1" applyBorder="1" applyAlignment="1">
      <alignment horizontal="center" vertical="top" wrapText="1"/>
    </xf>
    <xf numFmtId="2" fontId="25" fillId="0" borderId="9" xfId="13" applyNumberFormat="1" applyFont="1" applyBorder="1" applyAlignment="1">
      <alignment horizontal="center" vertical="top" wrapText="1"/>
    </xf>
    <xf numFmtId="2" fontId="25" fillId="0" borderId="59" xfId="13" applyNumberFormat="1" applyFont="1" applyBorder="1" applyAlignment="1">
      <alignment horizontal="center" vertical="top" wrapText="1"/>
    </xf>
    <xf numFmtId="164" fontId="7" fillId="2" borderId="40" xfId="13" applyNumberFormat="1" applyFont="1" applyFill="1" applyBorder="1" applyAlignment="1">
      <alignment horizontal="center" vertical="center" textRotation="90" wrapText="1"/>
    </xf>
    <xf numFmtId="0" fontId="76" fillId="6" borderId="0" xfId="13" applyFont="1" applyFill="1" applyBorder="1" applyAlignment="1">
      <alignment wrapText="1"/>
    </xf>
    <xf numFmtId="0" fontId="76" fillId="0" borderId="0" xfId="13" applyNumberFormat="1" applyFont="1" applyAlignment="1">
      <alignment wrapText="1"/>
    </xf>
    <xf numFmtId="0" fontId="76" fillId="0" borderId="0" xfId="13" applyFont="1" applyBorder="1" applyAlignment="1"/>
    <xf numFmtId="1" fontId="76" fillId="6" borderId="0" xfId="13" applyNumberFormat="1" applyFont="1" applyFill="1" applyBorder="1" applyAlignment="1">
      <alignment wrapText="1"/>
    </xf>
    <xf numFmtId="0" fontId="76" fillId="0" borderId="0" xfId="13" applyFont="1" applyBorder="1" applyAlignment="1">
      <alignment wrapText="1"/>
    </xf>
    <xf numFmtId="0" fontId="76" fillId="0" borderId="0" xfId="13" applyFont="1" applyAlignment="1">
      <alignment wrapText="1"/>
    </xf>
    <xf numFmtId="9" fontId="76" fillId="0" borderId="0" xfId="13" applyNumberFormat="1" applyFont="1" applyAlignment="1">
      <alignment wrapText="1"/>
    </xf>
    <xf numFmtId="1" fontId="76" fillId="6" borderId="0" xfId="13" applyNumberFormat="1" applyFont="1" applyFill="1" applyBorder="1" applyAlignment="1"/>
    <xf numFmtId="165" fontId="76" fillId="6" borderId="0" xfId="13" applyNumberFormat="1" applyFont="1" applyFill="1" applyBorder="1" applyAlignment="1">
      <alignment wrapText="1"/>
    </xf>
    <xf numFmtId="10" fontId="76" fillId="0" borderId="0" xfId="13" applyNumberFormat="1" applyFont="1" applyProtection="1">
      <protection hidden="1"/>
    </xf>
    <xf numFmtId="2" fontId="76" fillId="6" borderId="0" xfId="13" applyNumberFormat="1" applyFont="1" applyFill="1" applyBorder="1" applyAlignment="1">
      <alignment wrapText="1"/>
    </xf>
    <xf numFmtId="1" fontId="106" fillId="0" borderId="0" xfId="0" applyNumberFormat="1" applyFont="1"/>
    <xf numFmtId="10" fontId="113" fillId="0" borderId="0" xfId="13" applyNumberFormat="1" applyFont="1"/>
    <xf numFmtId="0" fontId="113" fillId="0" borderId="0" xfId="13" applyFont="1"/>
    <xf numFmtId="0" fontId="113" fillId="6" borderId="0" xfId="13" applyFont="1" applyFill="1" applyBorder="1" applyAlignment="1">
      <alignment wrapText="1"/>
    </xf>
    <xf numFmtId="0" fontId="113" fillId="0" borderId="0" xfId="13" applyNumberFormat="1" applyFont="1" applyAlignment="1">
      <alignment wrapText="1"/>
    </xf>
    <xf numFmtId="1" fontId="113" fillId="6" borderId="0" xfId="13" applyNumberFormat="1" applyFont="1" applyFill="1" applyBorder="1" applyAlignment="1">
      <alignment wrapText="1"/>
    </xf>
    <xf numFmtId="0" fontId="113" fillId="0" borderId="0" xfId="13" applyFont="1" applyAlignment="1">
      <alignment wrapText="1"/>
    </xf>
    <xf numFmtId="9" fontId="113" fillId="0" borderId="0" xfId="13" applyNumberFormat="1" applyFont="1" applyAlignment="1">
      <alignment wrapText="1"/>
    </xf>
    <xf numFmtId="165" fontId="113" fillId="6" borderId="0" xfId="13" applyNumberFormat="1" applyFont="1" applyFill="1" applyBorder="1" applyAlignment="1">
      <alignment wrapText="1"/>
    </xf>
    <xf numFmtId="0" fontId="114" fillId="3" borderId="0" xfId="0" applyFont="1" applyFill="1" applyAlignment="1">
      <alignment vertical="center"/>
    </xf>
    <xf numFmtId="0" fontId="106" fillId="0" borderId="0" xfId="0" applyFont="1"/>
    <xf numFmtId="0" fontId="76" fillId="6" borderId="0" xfId="13" applyFont="1" applyFill="1" applyBorder="1" applyAlignment="1"/>
    <xf numFmtId="0" fontId="115" fillId="6" borderId="0" xfId="13" applyFont="1" applyFill="1" applyBorder="1" applyAlignment="1">
      <alignment wrapText="1"/>
    </xf>
    <xf numFmtId="3" fontId="115" fillId="6" borderId="0" xfId="13" applyNumberFormat="1" applyFont="1" applyFill="1" applyBorder="1" applyAlignment="1"/>
    <xf numFmtId="0" fontId="8" fillId="0" borderId="0" xfId="13" applyFont="1" applyFill="1" applyProtection="1">
      <protection locked="0"/>
    </xf>
    <xf numFmtId="164" fontId="8" fillId="0" borderId="0" xfId="13" applyNumberFormat="1" applyFont="1" applyFill="1" applyProtection="1">
      <protection locked="0"/>
    </xf>
    <xf numFmtId="165" fontId="8" fillId="0" borderId="0" xfId="13" applyNumberFormat="1" applyFont="1" applyFill="1" applyProtection="1">
      <protection locked="0"/>
    </xf>
    <xf numFmtId="0" fontId="12" fillId="0" borderId="0" xfId="13" applyFont="1" applyFill="1" applyProtection="1">
      <protection locked="0"/>
    </xf>
    <xf numFmtId="14" fontId="4" fillId="0" borderId="0" xfId="13" applyNumberFormat="1" applyFont="1" applyFill="1" applyBorder="1" applyAlignment="1" applyProtection="1">
      <alignment wrapText="1"/>
      <protection locked="0"/>
    </xf>
    <xf numFmtId="0" fontId="8" fillId="0" borderId="74" xfId="13" applyFont="1" applyFill="1" applyBorder="1" applyAlignment="1">
      <alignment wrapText="1"/>
    </xf>
    <xf numFmtId="0" fontId="8" fillId="0" borderId="74" xfId="13" applyFont="1" applyFill="1" applyBorder="1" applyAlignment="1">
      <alignment vertical="center" wrapText="1"/>
    </xf>
    <xf numFmtId="1" fontId="8" fillId="0" borderId="74" xfId="13" applyNumberFormat="1" applyFont="1" applyFill="1" applyBorder="1" applyAlignment="1">
      <alignment wrapText="1"/>
    </xf>
    <xf numFmtId="3" fontId="24" fillId="0" borderId="74" xfId="13" applyNumberFormat="1" applyFont="1" applyFill="1" applyBorder="1" applyAlignment="1">
      <alignment wrapText="1"/>
    </xf>
    <xf numFmtId="3" fontId="8" fillId="0" borderId="74" xfId="13" applyNumberFormat="1" applyFont="1" applyFill="1" applyBorder="1" applyAlignment="1">
      <alignment wrapText="1"/>
    </xf>
    <xf numFmtId="14" fontId="4" fillId="0" borderId="0" xfId="13" applyNumberFormat="1" applyFont="1" applyFill="1" applyBorder="1" applyAlignment="1">
      <alignment wrapText="1"/>
    </xf>
    <xf numFmtId="0" fontId="4" fillId="0" borderId="0" xfId="13" applyFont="1" applyFill="1" applyBorder="1" applyAlignment="1">
      <alignment wrapText="1"/>
    </xf>
    <xf numFmtId="0" fontId="8" fillId="0" borderId="0" xfId="13" applyFont="1" applyFill="1" applyBorder="1" applyAlignment="1">
      <alignment wrapText="1"/>
    </xf>
    <xf numFmtId="0" fontId="8" fillId="0" borderId="0" xfId="13" applyFont="1" applyFill="1" applyBorder="1" applyAlignment="1"/>
    <xf numFmtId="1" fontId="8" fillId="0" borderId="0" xfId="13" applyNumberFormat="1" applyFont="1" applyFill="1" applyBorder="1" applyAlignment="1"/>
    <xf numFmtId="165" fontId="8" fillId="0" borderId="0" xfId="13" applyNumberFormat="1" applyFont="1" applyFill="1" applyBorder="1" applyAlignment="1"/>
    <xf numFmtId="0" fontId="12" fillId="0" borderId="0" xfId="13" applyFont="1" applyFill="1"/>
    <xf numFmtId="0" fontId="111" fillId="0" borderId="0" xfId="13" applyFont="1" applyFill="1" applyBorder="1" applyAlignment="1">
      <alignment wrapText="1"/>
    </xf>
    <xf numFmtId="0" fontId="8" fillId="0" borderId="0" xfId="13" applyFont="1" applyFill="1" applyBorder="1" applyAlignment="1">
      <alignment vertical="center" wrapText="1"/>
    </xf>
    <xf numFmtId="1" fontId="8" fillId="0" borderId="0" xfId="13" applyNumberFormat="1" applyFont="1" applyFill="1" applyBorder="1" applyAlignment="1">
      <alignment wrapText="1"/>
    </xf>
    <xf numFmtId="3" fontId="24" fillId="0" borderId="0" xfId="13" applyNumberFormat="1" applyFont="1" applyFill="1" applyBorder="1" applyAlignment="1">
      <alignment wrapText="1"/>
    </xf>
    <xf numFmtId="3" fontId="8" fillId="0" borderId="0" xfId="13" applyNumberFormat="1" applyFont="1" applyFill="1" applyBorder="1" applyAlignment="1">
      <alignment wrapText="1"/>
    </xf>
    <xf numFmtId="165" fontId="12" fillId="0" borderId="0" xfId="13" applyNumberFormat="1" applyFont="1" applyFill="1"/>
    <xf numFmtId="0" fontId="100" fillId="0" borderId="0" xfId="13" applyFont="1" applyFill="1" applyBorder="1" applyAlignment="1">
      <alignment wrapText="1"/>
    </xf>
    <xf numFmtId="1" fontId="8" fillId="0" borderId="0" xfId="13" applyNumberFormat="1" applyFont="1" applyFill="1" applyBorder="1"/>
    <xf numFmtId="164" fontId="37" fillId="0" borderId="44" xfId="13" applyNumberFormat="1" applyFont="1" applyFill="1" applyBorder="1" applyAlignment="1">
      <alignment horizontal="center" vertical="center" wrapText="1"/>
    </xf>
    <xf numFmtId="0" fontId="8" fillId="0" borderId="20" xfId="0" applyFont="1" applyFill="1" applyBorder="1" applyAlignment="1">
      <alignment horizontal="left" vertical="top" wrapText="1"/>
    </xf>
    <xf numFmtId="0" fontId="8" fillId="0" borderId="40" xfId="0" applyFont="1" applyFill="1" applyBorder="1" applyAlignment="1">
      <alignment horizontal="left" vertical="top" wrapText="1"/>
    </xf>
    <xf numFmtId="0" fontId="7" fillId="0" borderId="20" xfId="13" applyFont="1" applyBorder="1" applyAlignment="1">
      <alignment horizontal="left" vertical="top" wrapText="1"/>
    </xf>
    <xf numFmtId="0" fontId="7" fillId="0" borderId="20" xfId="13" applyFont="1" applyFill="1" applyBorder="1" applyAlignment="1">
      <alignment horizontal="left" vertical="top" wrapText="1"/>
    </xf>
    <xf numFmtId="3" fontId="101" fillId="0" borderId="0" xfId="13" applyNumberFormat="1" applyFont="1" applyFill="1" applyBorder="1" applyAlignment="1">
      <alignment wrapText="1"/>
    </xf>
    <xf numFmtId="3" fontId="116" fillId="0" borderId="6" xfId="12" applyNumberFormat="1" applyFont="1" applyBorder="1"/>
    <xf numFmtId="0" fontId="7" fillId="2" borderId="0" xfId="13" applyFont="1" applyFill="1" applyBorder="1" applyAlignment="1">
      <alignment horizontal="center" vertical="center" wrapText="1"/>
    </xf>
    <xf numFmtId="0" fontId="118" fillId="2" borderId="0" xfId="13" applyFont="1" applyFill="1" applyBorder="1" applyAlignment="1">
      <alignment horizontal="center" vertical="center" wrapText="1"/>
    </xf>
    <xf numFmtId="14" fontId="119" fillId="6" borderId="0" xfId="13" applyNumberFormat="1" applyFont="1" applyFill="1" applyBorder="1" applyAlignment="1" applyProtection="1">
      <alignment wrapText="1"/>
      <protection locked="0"/>
    </xf>
    <xf numFmtId="1" fontId="120" fillId="0" borderId="0" xfId="0" applyNumberFormat="1" applyFont="1"/>
    <xf numFmtId="10" fontId="0" fillId="0" borderId="0" xfId="17" applyNumberFormat="1" applyFont="1"/>
    <xf numFmtId="10" fontId="120" fillId="0" borderId="0" xfId="17" applyNumberFormat="1" applyFont="1"/>
    <xf numFmtId="1" fontId="121" fillId="0" borderId="0" xfId="0" applyNumberFormat="1" applyFont="1" applyAlignment="1">
      <alignment horizontal="center"/>
    </xf>
    <xf numFmtId="10" fontId="121" fillId="0" borderId="0" xfId="17" applyNumberFormat="1" applyFont="1" applyAlignment="1">
      <alignment horizontal="center"/>
    </xf>
    <xf numFmtId="1" fontId="0" fillId="0" borderId="0" xfId="0" applyNumberFormat="1" applyAlignment="1">
      <alignment horizontal="right"/>
    </xf>
    <xf numFmtId="10" fontId="0" fillId="0" borderId="0" xfId="17" applyNumberFormat="1" applyFont="1" applyAlignment="1">
      <alignment horizontal="right"/>
    </xf>
    <xf numFmtId="2" fontId="75" fillId="0" borderId="0" xfId="13" applyNumberFormat="1" applyFont="1"/>
    <xf numFmtId="0" fontId="7" fillId="2" borderId="0" xfId="13" applyFont="1" applyFill="1" applyBorder="1" applyAlignment="1">
      <alignment horizontal="center" vertical="center" wrapText="1"/>
    </xf>
    <xf numFmtId="4" fontId="8" fillId="0" borderId="0" xfId="13" applyNumberFormat="1" applyFont="1"/>
    <xf numFmtId="1" fontId="60" fillId="0" borderId="25" xfId="13" applyNumberFormat="1" applyFont="1" applyFill="1" applyBorder="1" applyAlignment="1">
      <alignment horizontal="center" vertical="top" wrapText="1"/>
    </xf>
    <xf numFmtId="1" fontId="60" fillId="0" borderId="9" xfId="13" applyNumberFormat="1" applyFont="1" applyFill="1" applyBorder="1" applyAlignment="1">
      <alignment horizontal="center" vertical="top" wrapText="1"/>
    </xf>
    <xf numFmtId="1" fontId="7" fillId="0" borderId="25" xfId="13" applyNumberFormat="1" applyFont="1" applyBorder="1" applyAlignment="1">
      <alignment horizontal="center" vertical="top" wrapText="1"/>
    </xf>
    <xf numFmtId="1" fontId="7" fillId="0" borderId="58" xfId="13" applyNumberFormat="1" applyFont="1" applyBorder="1" applyAlignment="1">
      <alignment horizontal="center" vertical="top" wrapText="1"/>
    </xf>
    <xf numFmtId="1" fontId="7" fillId="0" borderId="55" xfId="13" applyNumberFormat="1" applyFont="1" applyFill="1" applyBorder="1" applyAlignment="1">
      <alignment horizontal="center" vertical="top" wrapText="1"/>
    </xf>
    <xf numFmtId="3" fontId="7" fillId="0" borderId="25" xfId="13" applyNumberFormat="1" applyFont="1" applyFill="1" applyBorder="1" applyAlignment="1">
      <alignment horizontal="center" vertical="top" wrapText="1"/>
    </xf>
    <xf numFmtId="3" fontId="7" fillId="0" borderId="9" xfId="13" applyNumberFormat="1" applyFont="1" applyFill="1" applyBorder="1" applyAlignment="1">
      <alignment horizontal="center" vertical="top" wrapText="1"/>
    </xf>
    <xf numFmtId="3" fontId="7" fillId="0" borderId="25" xfId="13" applyNumberFormat="1" applyFont="1" applyBorder="1" applyAlignment="1">
      <alignment horizontal="center" vertical="top" wrapText="1"/>
    </xf>
    <xf numFmtId="3" fontId="7" fillId="0" borderId="58" xfId="13" applyNumberFormat="1" applyFont="1" applyBorder="1" applyAlignment="1">
      <alignment horizontal="center" vertical="top" wrapText="1"/>
    </xf>
    <xf numFmtId="3" fontId="7" fillId="0" borderId="55" xfId="13" applyNumberFormat="1" applyFont="1" applyFill="1" applyBorder="1" applyAlignment="1">
      <alignment horizontal="center" vertical="top" wrapText="1"/>
    </xf>
    <xf numFmtId="3" fontId="7" fillId="0" borderId="6" xfId="13" applyNumberFormat="1" applyFont="1" applyFill="1" applyBorder="1" applyAlignment="1">
      <alignment horizontal="center" vertical="top" wrapText="1"/>
    </xf>
    <xf numFmtId="0" fontId="35" fillId="0" borderId="6" xfId="6" applyFont="1" applyFill="1" applyBorder="1"/>
    <xf numFmtId="14" fontId="44" fillId="0" borderId="0" xfId="0" applyNumberFormat="1" applyFont="1" applyFill="1"/>
    <xf numFmtId="2" fontId="7" fillId="0" borderId="30" xfId="13" applyNumberFormat="1" applyFont="1" applyFill="1" applyBorder="1" applyAlignment="1">
      <alignment horizontal="center" vertical="top" wrapText="1"/>
    </xf>
    <xf numFmtId="2" fontId="7" fillId="0" borderId="37" xfId="13" applyNumberFormat="1" applyFont="1" applyFill="1" applyBorder="1" applyAlignment="1">
      <alignment horizontal="center" vertical="top" wrapText="1"/>
    </xf>
    <xf numFmtId="164" fontId="7" fillId="0" borderId="25" xfId="13" applyNumberFormat="1" applyFont="1" applyFill="1" applyBorder="1" applyAlignment="1">
      <alignment horizontal="center" vertical="top" wrapText="1"/>
    </xf>
    <xf numFmtId="164" fontId="7" fillId="0" borderId="6" xfId="13" applyNumberFormat="1" applyFont="1" applyFill="1" applyBorder="1" applyAlignment="1">
      <alignment horizontal="center" vertical="top" wrapText="1"/>
    </xf>
    <xf numFmtId="164" fontId="7" fillId="0" borderId="9" xfId="13" applyNumberFormat="1" applyFont="1" applyFill="1" applyBorder="1" applyAlignment="1">
      <alignment horizontal="center" vertical="top" wrapText="1"/>
    </xf>
    <xf numFmtId="164" fontId="7" fillId="0" borderId="24" xfId="13" applyNumberFormat="1" applyFont="1" applyFill="1" applyBorder="1" applyAlignment="1">
      <alignment horizontal="center" vertical="top" wrapText="1"/>
    </xf>
    <xf numFmtId="164" fontId="7" fillId="0" borderId="16" xfId="13" applyNumberFormat="1" applyFont="1" applyFill="1" applyBorder="1" applyAlignment="1">
      <alignment horizontal="center" vertical="top" wrapText="1"/>
    </xf>
    <xf numFmtId="164" fontId="7" fillId="0" borderId="31" xfId="13" applyNumberFormat="1" applyFont="1" applyFill="1" applyBorder="1" applyAlignment="1">
      <alignment horizontal="center" vertical="top" wrapText="1"/>
    </xf>
    <xf numFmtId="0" fontId="68" fillId="0" borderId="6" xfId="13" applyFont="1" applyFill="1" applyBorder="1" applyAlignment="1">
      <alignment horizontal="center" vertical="top" wrapText="1"/>
    </xf>
    <xf numFmtId="0" fontId="68" fillId="0" borderId="9" xfId="13" applyFont="1" applyFill="1" applyBorder="1" applyAlignment="1">
      <alignment horizontal="center" vertical="top" wrapText="1"/>
    </xf>
    <xf numFmtId="2" fontId="7" fillId="0" borderId="8" xfId="13" applyNumberFormat="1" applyFont="1" applyFill="1" applyBorder="1" applyAlignment="1">
      <alignment horizontal="center" vertical="top" wrapText="1"/>
    </xf>
    <xf numFmtId="2" fontId="7" fillId="0" borderId="25" xfId="13" applyNumberFormat="1" applyFont="1" applyFill="1" applyBorder="1" applyAlignment="1">
      <alignment horizontal="center" vertical="top" wrapText="1"/>
    </xf>
    <xf numFmtId="49" fontId="8" fillId="13" borderId="24" xfId="13" applyNumberFormat="1" applyFont="1" applyFill="1" applyBorder="1" applyAlignment="1">
      <alignment horizontal="center" vertical="top" wrapText="1"/>
    </xf>
    <xf numFmtId="0" fontId="60" fillId="13" borderId="14" xfId="13" applyFont="1" applyFill="1" applyBorder="1" applyAlignment="1">
      <alignment horizontal="center" vertical="top" wrapText="1"/>
    </xf>
    <xf numFmtId="0" fontId="60" fillId="13" borderId="33" xfId="13" applyFont="1" applyFill="1" applyBorder="1" applyAlignment="1">
      <alignment horizontal="center" vertical="top" wrapText="1"/>
    </xf>
    <xf numFmtId="1" fontId="8" fillId="13" borderId="5" xfId="13" applyNumberFormat="1" applyFont="1" applyFill="1" applyBorder="1" applyAlignment="1">
      <alignment horizontal="center" vertical="top" wrapText="1"/>
    </xf>
    <xf numFmtId="167" fontId="8" fillId="13" borderId="5" xfId="13" applyNumberFormat="1" applyFont="1" applyFill="1" applyBorder="1" applyAlignment="1">
      <alignment horizontal="center" vertical="top" wrapText="1"/>
    </xf>
    <xf numFmtId="0" fontId="8" fillId="0" borderId="40" xfId="0" applyFont="1" applyBorder="1" applyAlignment="1">
      <alignment horizontal="left" vertical="top" wrapText="1"/>
    </xf>
    <xf numFmtId="0" fontId="7" fillId="2" borderId="0" xfId="13" applyFont="1" applyFill="1" applyBorder="1" applyAlignment="1">
      <alignment horizontal="center" vertical="center" wrapText="1"/>
    </xf>
    <xf numFmtId="1" fontId="0" fillId="0" borderId="0" xfId="0" applyNumberFormat="1"/>
    <xf numFmtId="4" fontId="122" fillId="10" borderId="6" xfId="14" applyNumberFormat="1" applyFont="1" applyFill="1" applyBorder="1" applyAlignment="1">
      <alignment horizontal="center" vertical="center" wrapText="1"/>
    </xf>
    <xf numFmtId="3" fontId="122" fillId="10" borderId="6" xfId="14" applyNumberFormat="1" applyFont="1" applyFill="1" applyBorder="1" applyAlignment="1">
      <alignment vertical="top" wrapText="1"/>
    </xf>
    <xf numFmtId="1" fontId="69" fillId="0" borderId="25" xfId="13" applyNumberFormat="1" applyFont="1" applyFill="1" applyBorder="1" applyAlignment="1">
      <alignment horizontal="center" vertical="top" wrapText="1"/>
    </xf>
    <xf numFmtId="3" fontId="50" fillId="0" borderId="6" xfId="12" applyNumberFormat="1" applyFont="1" applyBorder="1"/>
    <xf numFmtId="0" fontId="123" fillId="0" borderId="6" xfId="12" applyFont="1" applyBorder="1"/>
    <xf numFmtId="0" fontId="0" fillId="0" borderId="0" xfId="0" applyFont="1"/>
    <xf numFmtId="0" fontId="124" fillId="0" borderId="0" xfId="6" applyFont="1" applyBorder="1"/>
    <xf numFmtId="0" fontId="0" fillId="0" borderId="0" xfId="0" applyFont="1" applyBorder="1"/>
    <xf numFmtId="3" fontId="0" fillId="0" borderId="0" xfId="0" applyNumberFormat="1" applyFont="1"/>
    <xf numFmtId="0" fontId="125" fillId="0" borderId="6" xfId="0" applyFont="1" applyFill="1" applyBorder="1"/>
    <xf numFmtId="3" fontId="0" fillId="0" borderId="6" xfId="0" applyNumberFormat="1" applyFont="1" applyBorder="1" applyAlignment="1">
      <alignment horizontal="center"/>
    </xf>
    <xf numFmtId="0" fontId="125" fillId="0" borderId="0" xfId="0" applyFont="1" applyFill="1" applyBorder="1"/>
    <xf numFmtId="0" fontId="111" fillId="0" borderId="40" xfId="0" applyFont="1" applyBorder="1" applyAlignment="1">
      <alignment vertical="center" wrapText="1"/>
    </xf>
    <xf numFmtId="0" fontId="124" fillId="0" borderId="75" xfId="0" applyFont="1" applyBorder="1" applyAlignment="1">
      <alignment horizontal="center" vertical="center"/>
    </xf>
    <xf numFmtId="0" fontId="126" fillId="0" borderId="33" xfId="0" applyFont="1" applyBorder="1" applyAlignment="1">
      <alignment horizontal="center" vertical="center" wrapText="1"/>
    </xf>
    <xf numFmtId="0" fontId="126" fillId="0" borderId="77" xfId="0" applyFont="1" applyBorder="1" applyAlignment="1">
      <alignment horizontal="center" vertical="center"/>
    </xf>
    <xf numFmtId="0" fontId="127" fillId="0" borderId="40" xfId="0" applyFont="1" applyBorder="1" applyAlignment="1">
      <alignment vertical="center" wrapText="1"/>
    </xf>
    <xf numFmtId="0" fontId="128" fillId="0" borderId="75" xfId="0" applyFont="1" applyBorder="1" applyAlignment="1">
      <alignment horizontal="center" vertical="center"/>
    </xf>
    <xf numFmtId="3" fontId="128" fillId="0" borderId="75" xfId="0" applyNumberFormat="1" applyFont="1" applyBorder="1" applyAlignment="1">
      <alignment horizontal="center" vertical="center"/>
    </xf>
    <xf numFmtId="0" fontId="111" fillId="0" borderId="0" xfId="0" applyFont="1" applyAlignment="1">
      <alignment vertical="center"/>
    </xf>
    <xf numFmtId="0" fontId="7" fillId="2" borderId="0" xfId="13" applyFont="1" applyFill="1" applyBorder="1" applyAlignment="1">
      <alignment horizontal="center" vertical="center" wrapText="1"/>
    </xf>
    <xf numFmtId="3" fontId="89" fillId="12" borderId="6" xfId="14" applyNumberFormat="1" applyFont="1" applyFill="1" applyBorder="1" applyAlignment="1">
      <alignment horizontal="center" vertical="center" wrapText="1"/>
    </xf>
    <xf numFmtId="3" fontId="89" fillId="0" borderId="6" xfId="14" applyNumberFormat="1" applyFont="1" applyFill="1" applyBorder="1" applyAlignment="1">
      <alignment horizontal="center" vertical="center" wrapText="1"/>
    </xf>
    <xf numFmtId="3" fontId="89" fillId="10" borderId="6" xfId="14" applyNumberFormat="1" applyFont="1" applyFill="1" applyBorder="1" applyAlignment="1">
      <alignment horizontal="center" vertical="center" wrapText="1"/>
    </xf>
    <xf numFmtId="4" fontId="89" fillId="10" borderId="6" xfId="14" applyNumberFormat="1" applyFont="1" applyFill="1" applyBorder="1" applyAlignment="1">
      <alignment horizontal="center" vertical="center" wrapText="1"/>
    </xf>
    <xf numFmtId="3" fontId="17" fillId="0" borderId="0" xfId="0" applyNumberFormat="1" applyFont="1" applyAlignment="1">
      <alignment horizontal="right"/>
    </xf>
    <xf numFmtId="3" fontId="35" fillId="12" borderId="6" xfId="14" applyNumberFormat="1" applyFont="1" applyFill="1" applyBorder="1" applyAlignment="1">
      <alignment horizontal="center" vertical="top" wrapText="1"/>
    </xf>
    <xf numFmtId="4" fontId="35" fillId="10" borderId="6" xfId="14" applyNumberFormat="1" applyFont="1" applyFill="1" applyBorder="1" applyAlignment="1">
      <alignment horizontal="center" vertical="center" wrapText="1"/>
    </xf>
    <xf numFmtId="3" fontId="81" fillId="10" borderId="6" xfId="14" applyNumberFormat="1" applyFont="1" applyFill="1" applyBorder="1" applyAlignment="1">
      <alignment horizontal="center" vertical="top" wrapText="1"/>
    </xf>
    <xf numFmtId="0" fontId="7" fillId="2" borderId="0" xfId="13" applyFont="1" applyFill="1" applyBorder="1" applyAlignment="1">
      <alignment horizontal="center" vertical="center" wrapText="1"/>
    </xf>
    <xf numFmtId="1" fontId="76" fillId="0" borderId="0" xfId="13" applyNumberFormat="1" applyFont="1" applyProtection="1">
      <protection hidden="1"/>
    </xf>
    <xf numFmtId="0" fontId="76" fillId="0" borderId="0" xfId="13" applyFont="1" applyProtection="1">
      <protection hidden="1"/>
    </xf>
    <xf numFmtId="1" fontId="17" fillId="0" borderId="0" xfId="0" applyNumberFormat="1" applyFont="1" applyAlignment="1">
      <alignment horizontal="right"/>
    </xf>
    <xf numFmtId="169" fontId="17" fillId="0" borderId="0" xfId="17" applyNumberFormat="1" applyFont="1" applyAlignment="1">
      <alignment horizontal="right"/>
    </xf>
    <xf numFmtId="3" fontId="76" fillId="0" borderId="0" xfId="13" applyNumberFormat="1" applyFont="1"/>
    <xf numFmtId="1" fontId="17" fillId="0" borderId="0" xfId="0" applyNumberFormat="1" applyFont="1"/>
    <xf numFmtId="0" fontId="7" fillId="0" borderId="67" xfId="13" applyFont="1" applyBorder="1" applyAlignment="1">
      <alignment horizontal="center" vertical="top" wrapText="1"/>
    </xf>
    <xf numFmtId="3" fontId="116" fillId="10" borderId="6" xfId="12" applyNumberFormat="1" applyFont="1" applyFill="1" applyBorder="1"/>
    <xf numFmtId="10" fontId="8" fillId="0" borderId="0" xfId="17" applyNumberFormat="1" applyFont="1"/>
    <xf numFmtId="1" fontId="0" fillId="0" borderId="0" xfId="17" applyNumberFormat="1" applyFont="1" applyAlignment="1">
      <alignment horizontal="right"/>
    </xf>
    <xf numFmtId="3" fontId="67" fillId="10" borderId="6" xfId="12" applyNumberFormat="1" applyFont="1" applyFill="1" applyBorder="1"/>
    <xf numFmtId="10" fontId="8" fillId="0" borderId="0" xfId="17" applyNumberFormat="1" applyFont="1" applyAlignment="1">
      <alignment horizontal="left"/>
    </xf>
    <xf numFmtId="0" fontId="67" fillId="10" borderId="6" xfId="12" applyFont="1" applyFill="1" applyBorder="1"/>
    <xf numFmtId="0" fontId="50" fillId="10" borderId="6" xfId="12" applyFill="1" applyBorder="1"/>
    <xf numFmtId="0" fontId="7" fillId="2" borderId="0" xfId="13" applyFont="1" applyFill="1" applyBorder="1" applyAlignment="1">
      <alignment horizontal="center" vertical="center" wrapText="1"/>
    </xf>
    <xf numFmtId="1" fontId="73" fillId="0" borderId="8" xfId="13" applyNumberFormat="1" applyFont="1" applyFill="1" applyBorder="1" applyAlignment="1">
      <alignment horizontal="center" vertical="top" wrapText="1"/>
    </xf>
    <xf numFmtId="1" fontId="73" fillId="0" borderId="67" xfId="13" applyNumberFormat="1" applyFont="1" applyFill="1" applyBorder="1" applyAlignment="1">
      <alignment horizontal="center" vertical="top" wrapText="1"/>
    </xf>
    <xf numFmtId="0" fontId="7" fillId="3" borderId="0" xfId="13" applyFont="1" applyFill="1" applyBorder="1" applyAlignment="1">
      <alignment horizontal="right" vertical="top" wrapText="1"/>
    </xf>
    <xf numFmtId="0" fontId="8" fillId="0" borderId="0" xfId="13" applyFont="1" applyBorder="1" applyAlignment="1">
      <alignment horizontal="right" vertical="top" wrapText="1"/>
    </xf>
    <xf numFmtId="0" fontId="3" fillId="0" borderId="0" xfId="3" applyBorder="1" applyAlignment="1" applyProtection="1">
      <alignment horizontal="right" vertical="top" wrapText="1"/>
    </xf>
    <xf numFmtId="0" fontId="8" fillId="0" borderId="20" xfId="0" applyFont="1" applyBorder="1" applyAlignment="1">
      <alignment horizontal="left" vertical="top" wrapText="1"/>
    </xf>
    <xf numFmtId="0" fontId="8" fillId="0" borderId="40" xfId="0" applyFont="1" applyBorder="1" applyAlignment="1">
      <alignment horizontal="left" vertical="top" wrapText="1"/>
    </xf>
    <xf numFmtId="14" fontId="4" fillId="0" borderId="0" xfId="13" applyNumberFormat="1" applyFont="1" applyBorder="1" applyAlignment="1">
      <alignment horizontal="left" wrapText="1"/>
    </xf>
    <xf numFmtId="0" fontId="4" fillId="0" borderId="0" xfId="13" applyFont="1" applyBorder="1" applyAlignment="1">
      <alignment horizontal="left" wrapText="1"/>
    </xf>
    <xf numFmtId="0" fontId="7" fillId="2" borderId="14" xfId="13" applyFont="1" applyFill="1" applyBorder="1" applyAlignment="1">
      <alignment horizontal="center" vertical="center" wrapText="1"/>
    </xf>
    <xf numFmtId="0" fontId="7" fillId="2" borderId="16" xfId="13" applyFont="1" applyFill="1" applyBorder="1" applyAlignment="1">
      <alignment horizontal="center" vertical="center" wrapText="1"/>
    </xf>
    <xf numFmtId="0" fontId="7" fillId="2" borderId="2" xfId="13" applyFont="1" applyFill="1" applyBorder="1" applyAlignment="1">
      <alignment horizontal="center" vertical="center" textRotation="90" wrapText="1"/>
    </xf>
    <xf numFmtId="0" fontId="7" fillId="2" borderId="8" xfId="13" applyFont="1" applyFill="1" applyBorder="1" applyAlignment="1">
      <alignment horizontal="center" vertical="center" textRotation="90" wrapText="1"/>
    </xf>
    <xf numFmtId="0" fontId="7" fillId="2" borderId="3" xfId="13" applyFont="1" applyFill="1" applyBorder="1" applyAlignment="1">
      <alignment horizontal="center" vertical="center" textRotation="90" wrapText="1"/>
    </xf>
    <xf numFmtId="0" fontId="7" fillId="2" borderId="9" xfId="13" applyFont="1" applyFill="1" applyBorder="1" applyAlignment="1">
      <alignment horizontal="center" vertical="center" textRotation="90" wrapText="1"/>
    </xf>
    <xf numFmtId="0" fontId="7" fillId="2" borderId="4" xfId="13" applyFont="1" applyFill="1" applyBorder="1" applyAlignment="1">
      <alignment horizontal="center" vertical="center" textRotation="90" wrapText="1"/>
    </xf>
    <xf numFmtId="0" fontId="7" fillId="2" borderId="10" xfId="13" applyFont="1" applyFill="1" applyBorder="1" applyAlignment="1">
      <alignment horizontal="center" vertical="center" textRotation="90" wrapText="1"/>
    </xf>
    <xf numFmtId="0" fontId="7" fillId="2" borderId="11" xfId="13" applyFont="1" applyFill="1" applyBorder="1" applyAlignment="1">
      <alignment horizontal="center" vertical="center" textRotation="90" wrapText="1"/>
    </xf>
    <xf numFmtId="0" fontId="7" fillId="2" borderId="40" xfId="13" applyFont="1" applyFill="1" applyBorder="1" applyAlignment="1">
      <alignment horizontal="center" vertical="center" textRotation="90" wrapText="1"/>
    </xf>
    <xf numFmtId="164" fontId="7" fillId="2" borderId="11" xfId="13" applyNumberFormat="1" applyFont="1" applyFill="1" applyBorder="1" applyAlignment="1">
      <alignment horizontal="center" vertical="center" textRotation="90" wrapText="1"/>
    </xf>
    <xf numFmtId="164" fontId="7" fillId="2" borderId="20" xfId="13" applyNumberFormat="1" applyFont="1" applyFill="1" applyBorder="1" applyAlignment="1">
      <alignment horizontal="center" vertical="center" textRotation="90" wrapText="1"/>
    </xf>
    <xf numFmtId="164" fontId="7" fillId="2" borderId="32" xfId="13" applyNumberFormat="1" applyFont="1" applyFill="1" applyBorder="1" applyAlignment="1">
      <alignment horizontal="center" vertical="center" textRotation="90" wrapText="1"/>
    </xf>
    <xf numFmtId="164" fontId="7" fillId="2" borderId="40" xfId="13" applyNumberFormat="1" applyFont="1" applyFill="1" applyBorder="1" applyAlignment="1">
      <alignment horizontal="center" vertical="center" textRotation="90" wrapText="1"/>
    </xf>
    <xf numFmtId="0" fontId="7" fillId="2" borderId="53" xfId="13" applyFont="1" applyFill="1" applyBorder="1" applyAlignment="1">
      <alignment horizontal="center" vertical="center" wrapText="1"/>
    </xf>
    <xf numFmtId="0" fontId="7" fillId="2" borderId="76" xfId="13" applyFont="1" applyFill="1" applyBorder="1" applyAlignment="1">
      <alignment horizontal="center" vertical="center" wrapText="1"/>
    </xf>
    <xf numFmtId="0" fontId="7" fillId="2" borderId="77" xfId="13" applyFont="1" applyFill="1" applyBorder="1" applyAlignment="1">
      <alignment horizontal="center" vertical="center" wrapText="1"/>
    </xf>
    <xf numFmtId="165" fontId="7" fillId="2" borderId="53" xfId="13" applyNumberFormat="1" applyFont="1" applyFill="1" applyBorder="1" applyAlignment="1">
      <alignment horizontal="center" vertical="center" wrapText="1"/>
    </xf>
    <xf numFmtId="165" fontId="7" fillId="2" borderId="77" xfId="13" applyNumberFormat="1" applyFont="1" applyFill="1" applyBorder="1" applyAlignment="1">
      <alignment horizontal="center" vertical="center" wrapText="1"/>
    </xf>
    <xf numFmtId="0" fontId="7" fillId="2" borderId="72" xfId="13" applyFont="1" applyFill="1" applyBorder="1" applyAlignment="1">
      <alignment horizontal="center" vertical="center" wrapText="1"/>
    </xf>
    <xf numFmtId="0" fontId="7" fillId="2" borderId="21" xfId="13" applyFont="1" applyFill="1" applyBorder="1" applyAlignment="1">
      <alignment horizontal="center" vertical="center" wrapText="1"/>
    </xf>
    <xf numFmtId="0" fontId="7" fillId="0" borderId="20" xfId="13" applyFont="1" applyBorder="1" applyAlignment="1">
      <alignment horizontal="center" vertical="top" wrapText="1"/>
    </xf>
    <xf numFmtId="0" fontId="7" fillId="0" borderId="40" xfId="13" applyFont="1" applyBorder="1" applyAlignment="1">
      <alignment horizontal="center" vertical="top" wrapText="1"/>
    </xf>
    <xf numFmtId="165" fontId="7" fillId="2" borderId="67" xfId="13" applyNumberFormat="1" applyFont="1" applyFill="1" applyBorder="1" applyAlignment="1">
      <alignment horizontal="center" vertical="center" wrapText="1"/>
    </xf>
    <xf numFmtId="165" fontId="7" fillId="2" borderId="68" xfId="13" applyNumberFormat="1" applyFont="1" applyFill="1" applyBorder="1" applyAlignment="1">
      <alignment horizontal="center" vertical="center" wrapText="1"/>
    </xf>
    <xf numFmtId="0" fontId="7" fillId="0" borderId="0" xfId="13" applyFont="1" applyBorder="1" applyAlignment="1">
      <alignment horizontal="right" vertical="top" wrapText="1"/>
    </xf>
    <xf numFmtId="0" fontId="7" fillId="2" borderId="67" xfId="13" applyFont="1" applyFill="1" applyBorder="1" applyAlignment="1">
      <alignment horizontal="center" vertical="center" wrapText="1"/>
    </xf>
    <xf numFmtId="0" fontId="7" fillId="2" borderId="69" xfId="13" applyFont="1" applyFill="1" applyBorder="1" applyAlignment="1">
      <alignment horizontal="center" vertical="center" wrapText="1"/>
    </xf>
    <xf numFmtId="0" fontId="7" fillId="2" borderId="78" xfId="13" applyFont="1" applyFill="1" applyBorder="1" applyAlignment="1">
      <alignment horizontal="center" vertical="center" wrapText="1"/>
    </xf>
    <xf numFmtId="0" fontId="7" fillId="7" borderId="53" xfId="13" applyFont="1" applyFill="1" applyBorder="1" applyAlignment="1">
      <alignment horizontal="center" vertical="center" wrapText="1"/>
    </xf>
    <xf numFmtId="0" fontId="7" fillId="7" borderId="76" xfId="13" applyFont="1" applyFill="1" applyBorder="1" applyAlignment="1">
      <alignment horizontal="center" vertical="center" wrapText="1"/>
    </xf>
    <xf numFmtId="0" fontId="7" fillId="7" borderId="77" xfId="13" applyFont="1" applyFill="1" applyBorder="1" applyAlignment="1">
      <alignment horizontal="center" vertical="center" wrapText="1"/>
    </xf>
    <xf numFmtId="165" fontId="7" fillId="7" borderId="53" xfId="13" applyNumberFormat="1" applyFont="1" applyFill="1" applyBorder="1" applyAlignment="1">
      <alignment horizontal="center" vertical="center" wrapText="1"/>
    </xf>
    <xf numFmtId="165" fontId="7" fillId="7" borderId="77" xfId="13" applyNumberFormat="1" applyFont="1" applyFill="1" applyBorder="1" applyAlignment="1">
      <alignment horizontal="center" vertical="center" wrapText="1"/>
    </xf>
    <xf numFmtId="0" fontId="8" fillId="0" borderId="11" xfId="0" applyFont="1" applyBorder="1" applyAlignment="1">
      <alignment horizontal="left" vertical="top" wrapText="1"/>
    </xf>
    <xf numFmtId="0" fontId="7" fillId="7" borderId="11" xfId="13" applyFont="1" applyFill="1" applyBorder="1" applyAlignment="1">
      <alignment horizontal="center" vertical="center" wrapText="1"/>
    </xf>
    <xf numFmtId="0" fontId="7" fillId="7" borderId="40" xfId="13" applyFont="1" applyFill="1" applyBorder="1" applyAlignment="1">
      <alignment horizontal="center" vertical="center" wrapText="1"/>
    </xf>
    <xf numFmtId="0" fontId="7" fillId="7" borderId="54" xfId="13" applyFont="1" applyFill="1" applyBorder="1" applyAlignment="1">
      <alignment horizontal="center" vertical="center" textRotation="90" wrapText="1"/>
    </xf>
    <xf numFmtId="0" fontId="7" fillId="7" borderId="46" xfId="13" applyFont="1" applyFill="1" applyBorder="1" applyAlignment="1">
      <alignment horizontal="center" vertical="center" textRotation="90" wrapText="1"/>
    </xf>
    <xf numFmtId="0" fontId="7" fillId="7" borderId="55" xfId="13" applyFont="1" applyFill="1" applyBorder="1" applyAlignment="1">
      <alignment horizontal="center" vertical="center" textRotation="90" wrapText="1"/>
    </xf>
    <xf numFmtId="0" fontId="7" fillId="7" borderId="58" xfId="13" applyFont="1" applyFill="1" applyBorder="1" applyAlignment="1">
      <alignment horizontal="center" vertical="center" textRotation="90" wrapText="1"/>
    </xf>
    <xf numFmtId="0" fontId="7" fillId="7" borderId="56" xfId="13" applyFont="1" applyFill="1" applyBorder="1" applyAlignment="1">
      <alignment horizontal="center" vertical="center" textRotation="90" wrapText="1"/>
    </xf>
    <xf numFmtId="0" fontId="7" fillId="7" borderId="59" xfId="13" applyFont="1" applyFill="1" applyBorder="1" applyAlignment="1">
      <alignment horizontal="center" vertical="center" textRotation="90" wrapText="1"/>
    </xf>
    <xf numFmtId="164" fontId="7" fillId="7" borderId="11" xfId="13" applyNumberFormat="1" applyFont="1" applyFill="1" applyBorder="1" applyAlignment="1">
      <alignment horizontal="center" vertical="center" textRotation="90" wrapText="1"/>
    </xf>
    <xf numFmtId="164" fontId="7" fillId="7" borderId="40" xfId="13" applyNumberFormat="1" applyFont="1" applyFill="1" applyBorder="1" applyAlignment="1">
      <alignment horizontal="center" vertical="center" textRotation="90" wrapText="1"/>
    </xf>
    <xf numFmtId="0" fontId="8" fillId="0" borderId="20" xfId="0" applyFont="1" applyBorder="1" applyAlignment="1">
      <alignment horizontal="center" vertical="top" wrapText="1"/>
    </xf>
    <xf numFmtId="0" fontId="8" fillId="0" borderId="40" xfId="0" applyFont="1" applyBorder="1" applyAlignment="1">
      <alignment horizontal="center" vertical="top" wrapText="1"/>
    </xf>
    <xf numFmtId="0" fontId="8" fillId="0" borderId="20" xfId="0" applyFont="1" applyFill="1" applyBorder="1" applyAlignment="1">
      <alignment horizontal="left" vertical="top" wrapText="1"/>
    </xf>
    <xf numFmtId="0" fontId="8" fillId="0" borderId="40" xfId="0" applyFont="1" applyFill="1" applyBorder="1" applyAlignment="1">
      <alignment horizontal="left" vertical="top" wrapText="1"/>
    </xf>
    <xf numFmtId="0" fontId="8" fillId="0" borderId="20" xfId="13" applyFont="1" applyFill="1" applyBorder="1" applyAlignment="1">
      <alignment horizontal="left" vertical="top" wrapText="1"/>
    </xf>
    <xf numFmtId="164" fontId="7" fillId="2" borderId="60" xfId="13" applyNumberFormat="1" applyFont="1" applyFill="1" applyBorder="1" applyAlignment="1">
      <alignment horizontal="center" vertical="center" textRotation="90" wrapText="1"/>
    </xf>
    <xf numFmtId="0" fontId="7" fillId="2" borderId="2" xfId="13" applyFont="1" applyFill="1" applyBorder="1" applyAlignment="1">
      <alignment horizontal="center" vertical="center" wrapText="1"/>
    </xf>
    <xf numFmtId="0" fontId="7" fillId="2" borderId="3" xfId="13" applyFont="1" applyFill="1" applyBorder="1" applyAlignment="1">
      <alignment horizontal="center" vertical="center" wrapText="1"/>
    </xf>
    <xf numFmtId="0" fontId="7" fillId="2" borderId="36" xfId="13" applyFont="1" applyFill="1" applyBorder="1" applyAlignment="1">
      <alignment horizontal="center" vertical="center" wrapText="1"/>
    </xf>
    <xf numFmtId="165" fontId="7" fillId="2" borderId="2" xfId="13" applyNumberFormat="1" applyFont="1" applyFill="1" applyBorder="1" applyAlignment="1">
      <alignment horizontal="center" vertical="center" wrapText="1"/>
    </xf>
    <xf numFmtId="165" fontId="7" fillId="2" borderId="4" xfId="13" applyNumberFormat="1" applyFont="1" applyFill="1" applyBorder="1" applyAlignment="1">
      <alignment horizontal="center" vertical="center" wrapText="1"/>
    </xf>
    <xf numFmtId="0" fontId="8" fillId="0" borderId="29" xfId="0" applyFont="1" applyBorder="1" applyAlignment="1">
      <alignment horizontal="left" vertical="top" wrapText="1"/>
    </xf>
    <xf numFmtId="0" fontId="8" fillId="0" borderId="60" xfId="0" applyFont="1" applyBorder="1" applyAlignment="1">
      <alignment horizontal="left" vertical="top" wrapText="1"/>
    </xf>
    <xf numFmtId="0" fontId="7" fillId="2" borderId="34" xfId="13" applyFont="1" applyFill="1" applyBorder="1" applyAlignment="1">
      <alignment horizontal="center" vertical="center" wrapText="1"/>
    </xf>
    <xf numFmtId="0" fontId="7" fillId="2" borderId="4" xfId="13" applyFont="1" applyFill="1" applyBorder="1" applyAlignment="1">
      <alignment horizontal="center" vertical="center" wrapText="1"/>
    </xf>
    <xf numFmtId="0" fontId="29" fillId="0" borderId="45" xfId="0" applyFont="1" applyBorder="1" applyAlignment="1">
      <alignment horizontal="left" vertical="top" wrapText="1"/>
    </xf>
    <xf numFmtId="0" fontId="29" fillId="0" borderId="75" xfId="0" applyFont="1" applyBorder="1" applyAlignment="1">
      <alignment horizontal="left" vertical="top" wrapText="1"/>
    </xf>
    <xf numFmtId="0" fontId="29" fillId="0" borderId="20" xfId="13" applyFont="1" applyBorder="1" applyAlignment="1">
      <alignment horizontal="left" vertical="top" wrapText="1"/>
    </xf>
    <xf numFmtId="0" fontId="29" fillId="0" borderId="40" xfId="13" applyFont="1" applyBorder="1" applyAlignment="1">
      <alignment horizontal="left" vertical="top" wrapText="1"/>
    </xf>
    <xf numFmtId="0" fontId="29" fillId="0" borderId="29" xfId="0" applyFont="1" applyBorder="1" applyAlignment="1">
      <alignment horizontal="left" vertical="top" wrapText="1"/>
    </xf>
    <xf numFmtId="0" fontId="29" fillId="0" borderId="20" xfId="0" applyFont="1" applyBorder="1" applyAlignment="1">
      <alignment horizontal="left" vertical="top" wrapText="1"/>
    </xf>
    <xf numFmtId="0" fontId="29" fillId="0" borderId="40" xfId="0" applyFont="1" applyBorder="1" applyAlignment="1">
      <alignment horizontal="left" vertical="top" wrapText="1"/>
    </xf>
    <xf numFmtId="0" fontId="29" fillId="0" borderId="20" xfId="0" applyFont="1" applyBorder="1" applyAlignment="1">
      <alignment vertical="top" wrapText="1"/>
    </xf>
    <xf numFmtId="0" fontId="29" fillId="0" borderId="40" xfId="0" applyFont="1" applyBorder="1" applyAlignment="1">
      <alignment vertical="top" wrapText="1"/>
    </xf>
    <xf numFmtId="0" fontId="29" fillId="5" borderId="2" xfId="13" applyNumberFormat="1" applyFont="1" applyFill="1" applyBorder="1" applyAlignment="1">
      <alignment horizontal="center" vertical="center" wrapText="1"/>
    </xf>
    <xf numFmtId="0" fontId="29" fillId="5" borderId="3" xfId="13" applyNumberFormat="1" applyFont="1" applyFill="1" applyBorder="1" applyAlignment="1">
      <alignment horizontal="center" vertical="center" wrapText="1"/>
    </xf>
    <xf numFmtId="0" fontId="29" fillId="5" borderId="4" xfId="13" applyNumberFormat="1" applyFont="1" applyFill="1" applyBorder="1" applyAlignment="1">
      <alignment horizontal="center" vertical="center" wrapText="1"/>
    </xf>
    <xf numFmtId="14" fontId="28" fillId="0" borderId="74" xfId="0" applyNumberFormat="1" applyFont="1" applyFill="1" applyBorder="1" applyAlignment="1">
      <alignment horizontal="center" vertical="center"/>
    </xf>
    <xf numFmtId="0" fontId="33" fillId="0" borderId="74" xfId="0" applyFont="1" applyBorder="1" applyAlignment="1">
      <alignment horizontal="right" vertical="center" wrapText="1"/>
    </xf>
    <xf numFmtId="0" fontId="29" fillId="5" borderId="27" xfId="13" applyNumberFormat="1" applyFont="1" applyFill="1" applyBorder="1" applyAlignment="1">
      <alignment horizontal="center" vertical="center" wrapText="1"/>
    </xf>
    <xf numFmtId="0" fontId="29" fillId="5" borderId="52" xfId="13" applyNumberFormat="1" applyFont="1" applyFill="1" applyBorder="1" applyAlignment="1">
      <alignment horizontal="center" vertical="center" wrapText="1"/>
    </xf>
    <xf numFmtId="0" fontId="29" fillId="5" borderId="11" xfId="13" applyNumberFormat="1" applyFont="1" applyFill="1" applyBorder="1" applyAlignment="1">
      <alignment horizontal="center" vertical="center" wrapText="1"/>
    </xf>
    <xf numFmtId="0" fontId="29" fillId="5" borderId="40" xfId="13" applyNumberFormat="1" applyFont="1" applyFill="1" applyBorder="1" applyAlignment="1">
      <alignment horizontal="center" vertical="center" wrapText="1"/>
    </xf>
    <xf numFmtId="0" fontId="29" fillId="5" borderId="2" xfId="13" applyNumberFormat="1" applyFont="1" applyFill="1" applyBorder="1" applyAlignment="1">
      <alignment horizontal="center" vertical="center" textRotation="90" wrapText="1"/>
    </xf>
    <xf numFmtId="0" fontId="29" fillId="5" borderId="19" xfId="13" applyNumberFormat="1" applyFont="1" applyFill="1" applyBorder="1" applyAlignment="1">
      <alignment horizontal="center" vertical="center" textRotation="90" wrapText="1"/>
    </xf>
    <xf numFmtId="0" fontId="29" fillId="5" borderId="3" xfId="13" applyNumberFormat="1" applyFont="1" applyFill="1" applyBorder="1" applyAlignment="1">
      <alignment horizontal="center" vertical="center" textRotation="90" wrapText="1"/>
    </xf>
    <xf numFmtId="0" fontId="29" fillId="5" borderId="43" xfId="13" applyNumberFormat="1" applyFont="1" applyFill="1" applyBorder="1" applyAlignment="1">
      <alignment horizontal="center" vertical="center" textRotation="90" wrapText="1"/>
    </xf>
    <xf numFmtId="0" fontId="29" fillId="5" borderId="4" xfId="13" applyNumberFormat="1" applyFont="1" applyFill="1" applyBorder="1" applyAlignment="1">
      <alignment horizontal="center" vertical="center" textRotation="90" wrapText="1"/>
    </xf>
    <xf numFmtId="0" fontId="29" fillId="5" borderId="18" xfId="13" applyNumberFormat="1" applyFont="1" applyFill="1" applyBorder="1" applyAlignment="1">
      <alignment horizontal="center" vertical="center" textRotation="90" wrapText="1"/>
    </xf>
    <xf numFmtId="0" fontId="29" fillId="5" borderId="19" xfId="13" applyNumberFormat="1" applyFont="1" applyFill="1" applyBorder="1" applyAlignment="1">
      <alignment horizontal="center" vertical="center" wrapText="1"/>
    </xf>
    <xf numFmtId="0" fontId="29" fillId="5" borderId="36" xfId="13" applyNumberFormat="1" applyFont="1" applyFill="1" applyBorder="1" applyAlignment="1">
      <alignment horizontal="center" vertical="center" wrapText="1"/>
    </xf>
    <xf numFmtId="0" fontId="5" fillId="0" borderId="0" xfId="13" applyFont="1" applyBorder="1" applyAlignment="1">
      <alignment horizontal="right" vertical="top" wrapText="1"/>
    </xf>
    <xf numFmtId="0" fontId="6" fillId="0" borderId="0" xfId="13" applyFont="1" applyBorder="1" applyAlignment="1">
      <alignment horizontal="right" vertical="top" wrapText="1"/>
    </xf>
    <xf numFmtId="0" fontId="20" fillId="0" borderId="0" xfId="3" applyFont="1" applyBorder="1" applyAlignment="1" applyProtection="1">
      <alignment horizontal="right" vertical="top" wrapText="1"/>
    </xf>
    <xf numFmtId="0" fontId="23" fillId="0" borderId="2" xfId="6" applyFont="1" applyBorder="1" applyAlignment="1">
      <alignment horizontal="center" vertical="center"/>
    </xf>
    <xf numFmtId="0" fontId="23" fillId="0" borderId="3" xfId="6" applyFont="1" applyBorder="1" applyAlignment="1">
      <alignment horizontal="center" vertical="center"/>
    </xf>
    <xf numFmtId="0" fontId="23" fillId="0" borderId="4" xfId="6" applyFont="1" applyBorder="1" applyAlignment="1">
      <alignment horizontal="center" vertical="center"/>
    </xf>
    <xf numFmtId="0" fontId="23" fillId="0" borderId="11" xfId="6" applyFont="1" applyBorder="1" applyAlignment="1">
      <alignment horizontal="center" wrapText="1"/>
    </xf>
    <xf numFmtId="0" fontId="23" fillId="0" borderId="40" xfId="6" applyFont="1" applyBorder="1" applyAlignment="1">
      <alignment horizontal="center" wrapText="1"/>
    </xf>
    <xf numFmtId="14" fontId="42" fillId="0" borderId="0" xfId="13" applyNumberFormat="1" applyFont="1" applyBorder="1" applyAlignment="1">
      <alignment horizontal="left" wrapText="1"/>
    </xf>
    <xf numFmtId="0" fontId="23" fillId="0" borderId="11" xfId="6" applyFont="1" applyBorder="1" applyAlignment="1">
      <alignment horizontal="center"/>
    </xf>
    <xf numFmtId="0" fontId="23" fillId="0" borderId="40" xfId="6" applyFont="1" applyBorder="1" applyAlignment="1">
      <alignment horizontal="center"/>
    </xf>
    <xf numFmtId="0" fontId="23" fillId="0" borderId="14" xfId="6" applyFont="1" applyBorder="1" applyAlignment="1">
      <alignment horizontal="center"/>
    </xf>
    <xf numFmtId="0" fontId="23" fillId="0" borderId="16" xfId="6" applyFont="1" applyBorder="1" applyAlignment="1">
      <alignment horizontal="center"/>
    </xf>
    <xf numFmtId="0" fontId="23" fillId="0" borderId="34" xfId="6" applyFont="1" applyBorder="1" applyAlignment="1">
      <alignment horizontal="center" vertical="center"/>
    </xf>
    <xf numFmtId="0" fontId="23" fillId="0" borderId="36" xfId="6" applyFont="1" applyBorder="1" applyAlignment="1">
      <alignment horizontal="center" vertical="center"/>
    </xf>
    <xf numFmtId="0" fontId="8" fillId="0" borderId="0" xfId="13" applyFont="1" applyBorder="1" applyAlignment="1">
      <alignment horizontal="left" wrapText="1"/>
    </xf>
    <xf numFmtId="0" fontId="7" fillId="2" borderId="11" xfId="13" applyFont="1" applyFill="1" applyBorder="1" applyAlignment="1">
      <alignment horizontal="center" vertical="center" wrapText="1"/>
    </xf>
    <xf numFmtId="0" fontId="7" fillId="2" borderId="20" xfId="13" applyFont="1" applyFill="1" applyBorder="1" applyAlignment="1">
      <alignment horizontal="center" vertical="center" wrapText="1"/>
    </xf>
    <xf numFmtId="0" fontId="7" fillId="2" borderId="27" xfId="13" applyFont="1" applyFill="1" applyBorder="1" applyAlignment="1">
      <alignment horizontal="center" vertical="center" wrapText="1"/>
    </xf>
    <xf numFmtId="0" fontId="0" fillId="0" borderId="21" xfId="0" applyBorder="1"/>
    <xf numFmtId="0" fontId="7" fillId="0" borderId="11" xfId="13" applyFont="1" applyBorder="1" applyAlignment="1">
      <alignment horizontal="left" wrapText="1"/>
    </xf>
    <xf numFmtId="0" fontId="7" fillId="0" borderId="40" xfId="13" applyFont="1" applyBorder="1" applyAlignment="1">
      <alignment horizontal="left" wrapText="1"/>
    </xf>
    <xf numFmtId="0" fontId="78" fillId="0" borderId="0" xfId="13" applyFont="1" applyAlignment="1" applyProtection="1">
      <alignment horizontal="left" wrapText="1"/>
      <protection locked="0"/>
    </xf>
    <xf numFmtId="0" fontId="7" fillId="2" borderId="32" xfId="13" applyFont="1" applyFill="1" applyBorder="1" applyAlignment="1">
      <alignment horizontal="center" vertical="center" wrapText="1"/>
    </xf>
    <xf numFmtId="0" fontId="7" fillId="2" borderId="44" xfId="13" applyFont="1" applyFill="1" applyBorder="1" applyAlignment="1">
      <alignment horizontal="center" vertical="center" textRotation="90" wrapText="1"/>
    </xf>
    <xf numFmtId="0" fontId="7" fillId="2" borderId="25" xfId="13" applyFont="1" applyFill="1" applyBorder="1" applyAlignment="1">
      <alignment horizontal="center" vertical="center" textRotation="90" wrapText="1"/>
    </xf>
    <xf numFmtId="0" fontId="7" fillId="2" borderId="13" xfId="13" applyFont="1" applyFill="1" applyBorder="1" applyAlignment="1">
      <alignment horizontal="center" vertical="center" textRotation="90" wrapText="1"/>
    </xf>
    <xf numFmtId="0" fontId="7" fillId="2" borderId="20" xfId="13" applyFont="1" applyFill="1" applyBorder="1" applyAlignment="1">
      <alignment horizontal="center" vertical="center" textRotation="90" wrapText="1"/>
    </xf>
    <xf numFmtId="0" fontId="7" fillId="2" borderId="60" xfId="13" applyFont="1" applyFill="1" applyBorder="1" applyAlignment="1">
      <alignment horizontal="center" vertical="center" wrapText="1"/>
    </xf>
    <xf numFmtId="0" fontId="7" fillId="2" borderId="74" xfId="13" applyFont="1" applyFill="1" applyBorder="1" applyAlignment="1">
      <alignment horizontal="center" vertical="center" wrapText="1"/>
    </xf>
    <xf numFmtId="0" fontId="7" fillId="2" borderId="75" xfId="13" applyFont="1" applyFill="1" applyBorder="1" applyAlignment="1">
      <alignment horizontal="center" vertical="center" wrapText="1"/>
    </xf>
    <xf numFmtId="165" fontId="7" fillId="2" borderId="60" xfId="13" applyNumberFormat="1" applyFont="1" applyFill="1" applyBorder="1" applyAlignment="1">
      <alignment horizontal="center" vertical="center" wrapText="1"/>
    </xf>
    <xf numFmtId="165" fontId="7" fillId="2" borderId="75" xfId="13" applyNumberFormat="1" applyFont="1" applyFill="1" applyBorder="1" applyAlignment="1">
      <alignment horizontal="center" vertical="center" wrapText="1"/>
    </xf>
    <xf numFmtId="0" fontId="7" fillId="2" borderId="51" xfId="13" applyFont="1" applyFill="1" applyBorder="1" applyAlignment="1">
      <alignment horizontal="center" vertical="center" wrapText="1"/>
    </xf>
    <xf numFmtId="0" fontId="7" fillId="2" borderId="47" xfId="13" applyFont="1" applyFill="1" applyBorder="1" applyAlignment="1">
      <alignment horizontal="center" vertical="center" wrapText="1"/>
    </xf>
    <xf numFmtId="0" fontId="7" fillId="0" borderId="20" xfId="13" applyFont="1" applyBorder="1" applyAlignment="1">
      <alignment horizontal="left" vertical="top" wrapText="1"/>
    </xf>
    <xf numFmtId="0" fontId="7" fillId="0" borderId="40" xfId="13" applyFont="1" applyBorder="1" applyAlignment="1">
      <alignment horizontal="left" vertical="top" wrapText="1"/>
    </xf>
    <xf numFmtId="0" fontId="78" fillId="0" borderId="0" xfId="13" applyFont="1" applyAlignment="1">
      <alignment horizontal="left" wrapText="1"/>
    </xf>
    <xf numFmtId="14" fontId="4" fillId="6" borderId="0" xfId="13" applyNumberFormat="1" applyFont="1" applyFill="1" applyBorder="1" applyAlignment="1">
      <alignment horizontal="left" wrapText="1"/>
    </xf>
    <xf numFmtId="0" fontId="4" fillId="6" borderId="0" xfId="13" applyFont="1" applyFill="1" applyBorder="1" applyAlignment="1">
      <alignment horizontal="left" wrapText="1"/>
    </xf>
    <xf numFmtId="0" fontId="33" fillId="0" borderId="0" xfId="0" applyFont="1" applyBorder="1" applyAlignment="1">
      <alignment horizontal="right" vertical="center" wrapText="1"/>
    </xf>
    <xf numFmtId="0" fontId="29" fillId="5" borderId="28" xfId="13" applyNumberFormat="1" applyFont="1" applyFill="1" applyBorder="1" applyAlignment="1">
      <alignment horizontal="center" vertical="center" wrapText="1"/>
    </xf>
    <xf numFmtId="0" fontId="29" fillId="5" borderId="8" xfId="13" applyNumberFormat="1" applyFont="1" applyFill="1" applyBorder="1" applyAlignment="1">
      <alignment horizontal="center" vertical="center" textRotation="90" wrapText="1"/>
    </xf>
    <xf numFmtId="0" fontId="29" fillId="5" borderId="9" xfId="13" applyNumberFormat="1" applyFont="1" applyFill="1" applyBorder="1" applyAlignment="1">
      <alignment horizontal="center" vertical="center" textRotation="90" wrapText="1"/>
    </xf>
    <xf numFmtId="0" fontId="29" fillId="5" borderId="10" xfId="13" applyNumberFormat="1" applyFont="1" applyFill="1" applyBorder="1" applyAlignment="1">
      <alignment horizontal="center" vertical="center" textRotation="90" wrapText="1"/>
    </xf>
    <xf numFmtId="0" fontId="29" fillId="5" borderId="11" xfId="13" applyNumberFormat="1" applyFont="1" applyFill="1" applyBorder="1" applyAlignment="1">
      <alignment horizontal="center" vertical="center" textRotation="90" wrapText="1"/>
    </xf>
    <xf numFmtId="0" fontId="29" fillId="5" borderId="40" xfId="13" applyNumberFormat="1" applyFont="1" applyFill="1" applyBorder="1" applyAlignment="1">
      <alignment horizontal="center" vertical="center" textRotation="90" wrapText="1"/>
    </xf>
    <xf numFmtId="0" fontId="29" fillId="5" borderId="8" xfId="13" applyNumberFormat="1" applyFont="1" applyFill="1" applyBorder="1" applyAlignment="1">
      <alignment horizontal="center" vertical="center" wrapText="1"/>
    </xf>
    <xf numFmtId="0" fontId="79" fillId="0" borderId="0" xfId="13" applyFont="1" applyAlignment="1">
      <alignment horizontal="left" wrapText="1"/>
    </xf>
    <xf numFmtId="0" fontId="7" fillId="0" borderId="20" xfId="13" applyFont="1" applyBorder="1" applyAlignment="1">
      <alignment horizontal="left" wrapText="1"/>
    </xf>
    <xf numFmtId="0" fontId="0" fillId="0" borderId="77" xfId="0" applyBorder="1"/>
    <xf numFmtId="14" fontId="7" fillId="0" borderId="0" xfId="13" applyNumberFormat="1" applyFont="1" applyBorder="1" applyAlignment="1">
      <alignment horizontal="left" wrapText="1"/>
    </xf>
    <xf numFmtId="0" fontId="7" fillId="0" borderId="0" xfId="13" applyFont="1" applyBorder="1" applyAlignment="1">
      <alignment horizontal="left" wrapText="1"/>
    </xf>
    <xf numFmtId="0" fontId="7" fillId="2" borderId="40" xfId="13" applyFont="1" applyFill="1" applyBorder="1" applyAlignment="1">
      <alignment horizontal="center" vertical="center" wrapText="1"/>
    </xf>
    <xf numFmtId="0" fontId="88" fillId="0" borderId="0" xfId="0" applyFont="1" applyAlignment="1">
      <alignment horizontal="left" vertical="top" wrapText="1"/>
    </xf>
    <xf numFmtId="164" fontId="7" fillId="7" borderId="20" xfId="13" applyNumberFormat="1" applyFont="1" applyFill="1" applyBorder="1" applyAlignment="1">
      <alignment horizontal="center" vertical="center" textRotation="90" wrapText="1"/>
    </xf>
    <xf numFmtId="165" fontId="7" fillId="7" borderId="2" xfId="13" applyNumberFormat="1" applyFont="1" applyFill="1" applyBorder="1" applyAlignment="1">
      <alignment horizontal="center" vertical="center" wrapText="1"/>
    </xf>
    <xf numFmtId="165" fontId="7" fillId="7" borderId="4" xfId="13" applyNumberFormat="1" applyFont="1" applyFill="1" applyBorder="1" applyAlignment="1">
      <alignment horizontal="center" vertical="center" wrapText="1"/>
    </xf>
    <xf numFmtId="0" fontId="7" fillId="7" borderId="72" xfId="13" applyFont="1" applyFill="1" applyBorder="1" applyAlignment="1">
      <alignment horizontal="center" vertical="center" wrapText="1"/>
    </xf>
    <xf numFmtId="0" fontId="7" fillId="7" borderId="21" xfId="13" applyFont="1" applyFill="1" applyBorder="1" applyAlignment="1">
      <alignment horizontal="center" vertical="center" wrapText="1"/>
    </xf>
    <xf numFmtId="0" fontId="7" fillId="7" borderId="3" xfId="13" applyFont="1" applyFill="1" applyBorder="1" applyAlignment="1">
      <alignment horizontal="center" vertical="center" wrapText="1"/>
    </xf>
    <xf numFmtId="0" fontId="7" fillId="7" borderId="4" xfId="13" applyFont="1" applyFill="1" applyBorder="1" applyAlignment="1">
      <alignment horizontal="center" vertical="center" wrapText="1"/>
    </xf>
    <xf numFmtId="0" fontId="7" fillId="7" borderId="30" xfId="13" applyFont="1" applyFill="1" applyBorder="1" applyAlignment="1">
      <alignment horizontal="center" vertical="center" wrapText="1"/>
    </xf>
    <xf numFmtId="0" fontId="7" fillId="7" borderId="50" xfId="13" applyFont="1" applyFill="1" applyBorder="1" applyAlignment="1">
      <alignment horizontal="center" vertical="center" wrapText="1"/>
    </xf>
    <xf numFmtId="0" fontId="7" fillId="7" borderId="11" xfId="13" applyNumberFormat="1" applyFont="1" applyFill="1" applyBorder="1" applyAlignment="1">
      <alignment horizontal="center" vertical="center" wrapText="1"/>
    </xf>
    <xf numFmtId="0" fontId="7" fillId="7" borderId="20" xfId="13" applyNumberFormat="1" applyFont="1" applyFill="1" applyBorder="1" applyAlignment="1">
      <alignment horizontal="center" vertical="center" wrapText="1"/>
    </xf>
    <xf numFmtId="0" fontId="7" fillId="7" borderId="2" xfId="13" applyFont="1" applyFill="1" applyBorder="1" applyAlignment="1">
      <alignment horizontal="center" vertical="center" textRotation="90" wrapText="1"/>
    </xf>
    <xf numFmtId="0" fontId="7" fillId="7" borderId="19" xfId="13" applyFont="1" applyFill="1" applyBorder="1" applyAlignment="1">
      <alignment horizontal="center" vertical="center" textRotation="90" wrapText="1"/>
    </xf>
    <xf numFmtId="0" fontId="7" fillId="7" borderId="36" xfId="13" applyFont="1" applyFill="1" applyBorder="1" applyAlignment="1">
      <alignment horizontal="center" vertical="center" textRotation="90" wrapText="1"/>
    </xf>
    <xf numFmtId="0" fontId="7" fillId="7" borderId="50" xfId="13" applyFont="1" applyFill="1" applyBorder="1" applyAlignment="1">
      <alignment horizontal="center" vertical="center" textRotation="90" wrapText="1"/>
    </xf>
    <xf numFmtId="0" fontId="7" fillId="7" borderId="1" xfId="13" applyFont="1" applyFill="1" applyBorder="1" applyAlignment="1">
      <alignment horizontal="center" vertical="center" textRotation="90" wrapText="1"/>
    </xf>
    <xf numFmtId="0" fontId="7" fillId="7" borderId="80" xfId="13" applyFont="1" applyFill="1" applyBorder="1" applyAlignment="1">
      <alignment horizontal="center" vertical="center" textRotation="90" wrapText="1"/>
    </xf>
    <xf numFmtId="0" fontId="7" fillId="7" borderId="29" xfId="13" applyFont="1" applyFill="1" applyBorder="1" applyAlignment="1">
      <alignment horizontal="center" vertical="center" textRotation="90" wrapText="1"/>
    </xf>
    <xf numFmtId="0" fontId="7" fillId="7" borderId="45" xfId="13" applyFont="1" applyFill="1" applyBorder="1" applyAlignment="1">
      <alignment horizontal="center" vertical="center" textRotation="90" wrapText="1"/>
    </xf>
    <xf numFmtId="0" fontId="8" fillId="0" borderId="0" xfId="13" applyFont="1" applyAlignment="1">
      <alignment horizontal="center" wrapText="1"/>
    </xf>
    <xf numFmtId="0" fontId="78" fillId="8" borderId="0" xfId="13" applyNumberFormat="1" applyFont="1" applyFill="1" applyBorder="1" applyAlignment="1">
      <alignment horizontal="left" wrapText="1"/>
    </xf>
    <xf numFmtId="0" fontId="7" fillId="2" borderId="29" xfId="13" applyFont="1" applyFill="1" applyBorder="1" applyAlignment="1">
      <alignment horizontal="center" vertical="center" wrapText="1"/>
    </xf>
    <xf numFmtId="0" fontId="7" fillId="2" borderId="0" xfId="13" applyFont="1" applyFill="1" applyBorder="1" applyAlignment="1">
      <alignment horizontal="center" vertical="center" wrapText="1"/>
    </xf>
  </cellXfs>
  <cellStyles count="18">
    <cellStyle name="0,0_x000d__x000a_NA_x000d__x000a_" xfId="1"/>
    <cellStyle name="Excel Built-in Normal" xfId="2"/>
    <cellStyle name="Гиперссылка" xfId="3" builtinId="8"/>
    <cellStyle name="Гиперссылка 2" xfId="4"/>
    <cellStyle name="Гиперссылка 3" xfId="5"/>
    <cellStyle name="Обычный" xfId="0" builtinId="0"/>
    <cellStyle name="Обычный 2" xfId="6"/>
    <cellStyle name="Обычный 2 2" xfId="7"/>
    <cellStyle name="Обычный 2_КВ региональные Версия от 16.03.2010г. (1)" xfId="8"/>
    <cellStyle name="Обычный 3" xfId="9"/>
    <cellStyle name="Обычный 3 2" xfId="10"/>
    <cellStyle name="Обычный 3_КВ региональные Версия от 16.03.2010г. (1)" xfId="11"/>
    <cellStyle name="Обычный 4" xfId="12"/>
    <cellStyle name="Обычный_06-05-01 ПРАЙС-ЛИСТ АКСИ" xfId="13"/>
    <cellStyle name="Обычный_Лист1" xfId="14"/>
    <cellStyle name="Обычный_Лист2" xfId="15"/>
    <cellStyle name="Обычный_Мин.Вата" xfId="16"/>
    <cellStyle name="Процентный"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trlProps/ctrlProp1.xml><?xml version="1.0" encoding="utf-8"?>
<formControlPr xmlns="http://schemas.microsoft.com/office/spreadsheetml/2009/9/main" objectType="Drop" dropStyle="combo" dx="15" fmlaLink="'ЛАЙТ Рязань'!$Q$5" fmlaRange="'Доставка по областям'!$A$2:$D$88" sel="67" val="0"/>
</file>

<file path=xl/ctrlProps/ctrlProp10.xml><?xml version="1.0" encoding="utf-8"?>
<formControlPr xmlns="http://schemas.microsoft.com/office/spreadsheetml/2009/9/main" objectType="Drop" dropStyle="combo" dx="15" fmlaLink="'ЛАЙТ Рязань'!$Q$5" fmlaRange="'Доставка по областям'!$A$2:$A$88" sel="67" val="64"/>
</file>

<file path=xl/ctrlProps/ctrlProp11.xml><?xml version="1.0" encoding="utf-8"?>
<formControlPr xmlns="http://schemas.microsoft.com/office/spreadsheetml/2009/9/main" objectType="Drop" dropStyle="combo" dx="15" fmlaLink="'ЛАЙТ Рязань'!$V$2" fmlaRange="'Доставка по областям'!$I$54:$I$57" sel="4" val="0"/>
</file>

<file path=xl/ctrlProps/ctrlProp12.xml><?xml version="1.0" encoding="utf-8"?>
<formControlPr xmlns="http://schemas.microsoft.com/office/spreadsheetml/2009/9/main" objectType="Drop" dropLines="4" dropStyle="combo" dx="15" fmlaLink="'ЛАЙТ Рязань'!$V$3" fmlaRange="'Доставка по областям'!$I$58:$I$61" sel="4" val="0"/>
</file>

<file path=xl/ctrlProps/ctrlProp13.xml><?xml version="1.0" encoding="utf-8"?>
<formControlPr xmlns="http://schemas.microsoft.com/office/spreadsheetml/2009/9/main" objectType="Drop" dropStyle="combo" dx="15" fmlaLink="'ЛАЙТ Рязань'!$Q$5" fmlaRange="'Доставка по областям'!$A$2:$A$90" sel="67" val="45"/>
</file>

<file path=xl/ctrlProps/ctrlProp14.xml><?xml version="1.0" encoding="utf-8"?>
<formControlPr xmlns="http://schemas.microsoft.com/office/spreadsheetml/2009/9/main" objectType="Drop" dropStyle="combo" dx="15" fmlaLink="$W$2" fmlaRange="'Доставка по областям'!$I$54:$I$57" sel="4" val="0"/>
</file>

<file path=xl/ctrlProps/ctrlProp15.xml><?xml version="1.0" encoding="utf-8"?>
<formControlPr xmlns="http://schemas.microsoft.com/office/spreadsheetml/2009/9/main" objectType="Drop" dropStyle="combo" dx="15" fmlaLink="$W$3" fmlaRange="'Доставка по областям'!$I$58:$I$59" sel="2" val="0"/>
</file>

<file path=xl/ctrlProps/ctrlProp16.xml><?xml version="1.0" encoding="utf-8"?>
<formControlPr xmlns="http://schemas.microsoft.com/office/spreadsheetml/2009/9/main" objectType="Drop" dropStyle="combo" dx="15" fmlaLink="'ЛАЙТ Рязань'!$Q$5" fmlaRange="'Доставка по областям'!$A$2:$A$88" sel="67" val="49"/>
</file>

<file path=xl/ctrlProps/ctrlProp17.xml><?xml version="1.0" encoding="utf-8"?>
<formControlPr xmlns="http://schemas.microsoft.com/office/spreadsheetml/2009/9/main" objectType="Drop" dropStyle="combo" dx="15" fmlaLink="'ЛАЙТ Рязань'!$V$2" fmlaRange="'Доставка по областям'!$I$54:$I$57" sel="4" val="0"/>
</file>

<file path=xl/ctrlProps/ctrlProp18.xml><?xml version="1.0" encoding="utf-8"?>
<formControlPr xmlns="http://schemas.microsoft.com/office/spreadsheetml/2009/9/main" objectType="Drop" dropLines="4" dropStyle="combo" dx="15" fmlaLink="'ЛАЙТ Рязань'!$V$3" fmlaRange="'Доставка по областям'!$I$58:$I$61" sel="4" val="0"/>
</file>

<file path=xl/ctrlProps/ctrlProp19.xml><?xml version="1.0" encoding="utf-8"?>
<formControlPr xmlns="http://schemas.microsoft.com/office/spreadsheetml/2009/9/main" objectType="Drop" dropStyle="combo" dx="15" fmlaLink="'ЛАЙТ Рязань'!$Q$5" fmlaRange="'Доставка по областям'!$A$2:$A$90" sel="67" val="45"/>
</file>

<file path=xl/ctrlProps/ctrlProp2.xml><?xml version="1.0" encoding="utf-8"?>
<formControlPr xmlns="http://schemas.microsoft.com/office/spreadsheetml/2009/9/main" objectType="Drop" dropStyle="combo" dx="15" fmlaLink="'ЛАЙТ Рязань'!$V$2" fmlaRange="'Доставка по областям'!$I$54:$I$57" sel="4" val="0"/>
</file>

<file path=xl/ctrlProps/ctrlProp20.xml><?xml version="1.0" encoding="utf-8"?>
<formControlPr xmlns="http://schemas.microsoft.com/office/spreadsheetml/2009/9/main" objectType="Drop" dropStyle="combo" dx="15" fmlaLink="$V$2" fmlaRange="'Доставка по областям'!$I$54:$I$57" val="0"/>
</file>

<file path=xl/ctrlProps/ctrlProp21.xml><?xml version="1.0" encoding="utf-8"?>
<formControlPr xmlns="http://schemas.microsoft.com/office/spreadsheetml/2009/9/main" objectType="Drop" dropStyle="combo" dx="15" fmlaLink="$V$3" fmlaRange="'Доставка по областям'!$I$58:$I$59" sel="2" val="0"/>
</file>

<file path=xl/ctrlProps/ctrlProp22.xml><?xml version="1.0" encoding="utf-8"?>
<formControlPr xmlns="http://schemas.microsoft.com/office/spreadsheetml/2009/9/main" objectType="Drop" dropStyle="combo" dx="15" fmlaLink="'ЛАЙТ Рязань'!$Q$5" fmlaRange="'Доставка по областям'!$A$2:$A$88" sel="67" val="65"/>
</file>

<file path=xl/ctrlProps/ctrlProp23.xml><?xml version="1.0" encoding="utf-8"?>
<formControlPr xmlns="http://schemas.microsoft.com/office/spreadsheetml/2009/9/main" objectType="Drop" dropStyle="combo" dx="15" fmlaLink="'ЛАЙТ Рязань'!$V$2" fmlaRange="'Доставка по областям'!$I$54:$I$57" sel="4" val="0"/>
</file>

<file path=xl/ctrlProps/ctrlProp24.xml><?xml version="1.0" encoding="utf-8"?>
<formControlPr xmlns="http://schemas.microsoft.com/office/spreadsheetml/2009/9/main" objectType="Drop" dropLines="4" dropStyle="combo" dx="15" fmlaLink="'ЛАЙТ Рязань'!$V$3" fmlaRange="'Доставка по областям'!$I$58:$I$61" sel="4" val="0"/>
</file>

<file path=xl/ctrlProps/ctrlProp25.xml><?xml version="1.0" encoding="utf-8"?>
<formControlPr xmlns="http://schemas.microsoft.com/office/spreadsheetml/2009/9/main" objectType="Drop" dropStyle="combo" dx="15" fmlaLink="'ЛАЙТ Рязань'!$Q$5" fmlaRange="'Доставка по областям'!$A$2:$D$88" sel="67" val="0"/>
</file>

<file path=xl/ctrlProps/ctrlProp26.xml><?xml version="1.0" encoding="utf-8"?>
<formControlPr xmlns="http://schemas.microsoft.com/office/spreadsheetml/2009/9/main" objectType="Drop" dropStyle="combo" dx="15" fmlaLink="'ЛАЙТ Рязань'!$V$2" fmlaRange="'Доставка по областям'!$I$54:$I$57" sel="4" val="0"/>
</file>

<file path=xl/ctrlProps/ctrlProp27.xml><?xml version="1.0" encoding="utf-8"?>
<formControlPr xmlns="http://schemas.microsoft.com/office/spreadsheetml/2009/9/main" objectType="Drop" dropLines="5" dropStyle="combo" dx="15" fmlaLink="'ЛАЙТ Рязань'!$V$3" fmlaRange="'Доставка по областям'!$I$58:$I$61" sel="4" val="0"/>
</file>

<file path=xl/ctrlProps/ctrlProp28.xml><?xml version="1.0" encoding="utf-8"?>
<formControlPr xmlns="http://schemas.microsoft.com/office/spreadsheetml/2009/9/main" objectType="Drop" dropStyle="combo" dx="15" fmlaLink="'ЛАЙТ Рязань'!$Q$5" fmlaRange="'Доставка по областям'!$A$2:$D$88" sel="67" val="2"/>
</file>

<file path=xl/ctrlProps/ctrlProp29.xml><?xml version="1.0" encoding="utf-8"?>
<formControlPr xmlns="http://schemas.microsoft.com/office/spreadsheetml/2009/9/main" objectType="Drop" dropStyle="combo" dx="15" fmlaLink="'ЛАЙТ Рязань'!$V$2" fmlaRange="'Доставка по областям'!$I$54:$I$57" sel="4" val="0"/>
</file>

<file path=xl/ctrlProps/ctrlProp3.xml><?xml version="1.0" encoding="utf-8"?>
<formControlPr xmlns="http://schemas.microsoft.com/office/spreadsheetml/2009/9/main" objectType="Drop" dropLines="5" dropStyle="combo" dx="15" fmlaLink="'ЛАЙТ Рязань'!$V$3" fmlaRange="'Доставка по областям'!$I$58:$I$61" sel="4" val="0"/>
</file>

<file path=xl/ctrlProps/ctrlProp30.xml><?xml version="1.0" encoding="utf-8"?>
<formControlPr xmlns="http://schemas.microsoft.com/office/spreadsheetml/2009/9/main" objectType="Drop" dropLines="5" dropStyle="combo" dx="15" fmlaLink="'ЛАЙТ Рязань'!$V$3" fmlaRange="'Доставка по областям'!$I$58:$I$61" sel="4" val="0"/>
</file>

<file path=xl/ctrlProps/ctrlProp4.xml><?xml version="1.0" encoding="utf-8"?>
<formControlPr xmlns="http://schemas.microsoft.com/office/spreadsheetml/2009/9/main" objectType="Drop" dropStyle="combo" dx="15" fmlaLink="'ЛАЙТ Рязань'!$Q$5" fmlaRange="'Доставка по областям'!$A$2:$D$88" sel="67" val="70"/>
</file>

<file path=xl/ctrlProps/ctrlProp5.xml><?xml version="1.0" encoding="utf-8"?>
<formControlPr xmlns="http://schemas.microsoft.com/office/spreadsheetml/2009/9/main" objectType="Drop" dropStyle="combo" dx="15" fmlaLink="'ЛАЙТ Рязань'!$V$2" fmlaRange="'Доставка по областям'!$I$54:$I$57" sel="4" val="0"/>
</file>

<file path=xl/ctrlProps/ctrlProp6.xml><?xml version="1.0" encoding="utf-8"?>
<formControlPr xmlns="http://schemas.microsoft.com/office/spreadsheetml/2009/9/main" objectType="Drop" dropLines="5" dropStyle="combo" dx="15" fmlaLink="'ЛАЙТ Рязань'!$V$3" fmlaRange="'Доставка по областям'!$I$58:$I$61" sel="4" val="0"/>
</file>

<file path=xl/ctrlProps/ctrlProp7.xml><?xml version="1.0" encoding="utf-8"?>
<formControlPr xmlns="http://schemas.microsoft.com/office/spreadsheetml/2009/9/main" objectType="Drop" dropStyle="combo" dx="15" fmlaLink="'ЛАЙТ Рязань'!$Q$5" fmlaRange="'Доставка по областям'!$A$2:$A$88" sel="67" val="54"/>
</file>

<file path=xl/ctrlProps/ctrlProp8.xml><?xml version="1.0" encoding="utf-8"?>
<formControlPr xmlns="http://schemas.microsoft.com/office/spreadsheetml/2009/9/main" objectType="Drop" dropStyle="combo" dx="15" fmlaLink="'ЛАЙТ Рязань'!$V$2" fmlaRange="'Доставка по областям'!$I$54:$I$57" sel="4" val="0"/>
</file>

<file path=xl/ctrlProps/ctrlProp9.xml><?xml version="1.0" encoding="utf-8"?>
<formControlPr xmlns="http://schemas.microsoft.com/office/spreadsheetml/2009/9/main" objectType="Drop" dropLines="4" dropStyle="combo" dx="15" fmlaLink="'ЛАЙТ Рязань'!$V$3" fmlaRange="'Доставка по областям'!$I$58:$I$61" sel="4"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390525</xdr:colOff>
      <xdr:row>0</xdr:row>
      <xdr:rowOff>0</xdr:rowOff>
    </xdr:from>
    <xdr:to>
      <xdr:col>18</xdr:col>
      <xdr:colOff>1000125</xdr:colOff>
      <xdr:row>4</xdr:row>
      <xdr:rowOff>0</xdr:rowOff>
    </xdr:to>
    <xdr:pic>
      <xdr:nvPicPr>
        <xdr:cNvPr id="2"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3173075" y="0"/>
          <a:ext cx="1285875" cy="1657350"/>
        </a:xfrm>
        <a:prstGeom prst="rect">
          <a:avLst/>
        </a:prstGeom>
        <a:noFill/>
        <a:ln w="9525">
          <a:noFill/>
          <a:miter lim="800000"/>
          <a:headEnd/>
          <a:tailEnd/>
        </a:ln>
      </xdr:spPr>
    </xdr:pic>
    <xdr:clientData/>
  </xdr:twoCellAnchor>
  <xdr:twoCellAnchor>
    <xdr:from>
      <xdr:col>17</xdr:col>
      <xdr:colOff>390525</xdr:colOff>
      <xdr:row>0</xdr:row>
      <xdr:rowOff>0</xdr:rowOff>
    </xdr:from>
    <xdr:to>
      <xdr:col>18</xdr:col>
      <xdr:colOff>1000125</xdr:colOff>
      <xdr:row>4</xdr:row>
      <xdr:rowOff>0</xdr:rowOff>
    </xdr:to>
    <xdr:pic>
      <xdr:nvPicPr>
        <xdr:cNvPr id="3"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3173075" y="0"/>
          <a:ext cx="1285875" cy="1657350"/>
        </a:xfrm>
        <a:prstGeom prst="rect">
          <a:avLst/>
        </a:prstGeom>
        <a:noFill/>
        <a:ln w="9525">
          <a:noFill/>
          <a:miter lim="800000"/>
          <a:headEnd/>
          <a:tailEnd/>
        </a:ln>
      </xdr:spPr>
    </xdr:pic>
    <xdr:clientData/>
  </xdr:twoCellAnchor>
  <xdr:twoCellAnchor>
    <xdr:from>
      <xdr:col>17</xdr:col>
      <xdr:colOff>390525</xdr:colOff>
      <xdr:row>0</xdr:row>
      <xdr:rowOff>0</xdr:rowOff>
    </xdr:from>
    <xdr:to>
      <xdr:col>18</xdr:col>
      <xdr:colOff>1000125</xdr:colOff>
      <xdr:row>4</xdr:row>
      <xdr:rowOff>0</xdr:rowOff>
    </xdr:to>
    <xdr:pic>
      <xdr:nvPicPr>
        <xdr:cNvPr id="4"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3173075" y="0"/>
          <a:ext cx="1285875" cy="1657350"/>
        </a:xfrm>
        <a:prstGeom prst="rect">
          <a:avLst/>
        </a:prstGeom>
        <a:noFill/>
        <a:ln w="9525">
          <a:noFill/>
          <a:miter lim="800000"/>
          <a:headEnd/>
          <a:tailEnd/>
        </a:ln>
      </xdr:spPr>
    </xdr:pic>
    <xdr:clientData/>
  </xdr:twoCellAnchor>
  <xdr:twoCellAnchor>
    <xdr:from>
      <xdr:col>17</xdr:col>
      <xdr:colOff>390525</xdr:colOff>
      <xdr:row>0</xdr:row>
      <xdr:rowOff>0</xdr:rowOff>
    </xdr:from>
    <xdr:to>
      <xdr:col>18</xdr:col>
      <xdr:colOff>1000125</xdr:colOff>
      <xdr:row>4</xdr:row>
      <xdr:rowOff>0</xdr:rowOff>
    </xdr:to>
    <xdr:pic>
      <xdr:nvPicPr>
        <xdr:cNvPr id="5"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3173075" y="0"/>
          <a:ext cx="1285875" cy="16573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390525</xdr:colOff>
      <xdr:row>0</xdr:row>
      <xdr:rowOff>0</xdr:rowOff>
    </xdr:from>
    <xdr:to>
      <xdr:col>18</xdr:col>
      <xdr:colOff>1000125</xdr:colOff>
      <xdr:row>3</xdr:row>
      <xdr:rowOff>228600</xdr:rowOff>
    </xdr:to>
    <xdr:pic>
      <xdr:nvPicPr>
        <xdr:cNvPr id="36867"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3106400" y="0"/>
          <a:ext cx="1619250" cy="165735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17</xdr:col>
      <xdr:colOff>390525</xdr:colOff>
      <xdr:row>0</xdr:row>
      <xdr:rowOff>0</xdr:rowOff>
    </xdr:from>
    <xdr:to>
      <xdr:col>18</xdr:col>
      <xdr:colOff>1000125</xdr:colOff>
      <xdr:row>4</xdr:row>
      <xdr:rowOff>0</xdr:rowOff>
    </xdr:to>
    <xdr:pic>
      <xdr:nvPicPr>
        <xdr:cNvPr id="2"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3173075" y="0"/>
          <a:ext cx="1285875" cy="1657350"/>
        </a:xfrm>
        <a:prstGeom prst="rect">
          <a:avLst/>
        </a:prstGeom>
        <a:noFill/>
        <a:ln w="9525">
          <a:noFill/>
          <a:miter lim="800000"/>
          <a:headEnd/>
          <a:tailEnd/>
        </a:ln>
      </xdr:spPr>
    </xdr:pic>
    <xdr:clientData/>
  </xdr:twoCellAnchor>
  <xdr:twoCellAnchor>
    <xdr:from>
      <xdr:col>17</xdr:col>
      <xdr:colOff>390525</xdr:colOff>
      <xdr:row>0</xdr:row>
      <xdr:rowOff>0</xdr:rowOff>
    </xdr:from>
    <xdr:to>
      <xdr:col>18</xdr:col>
      <xdr:colOff>1000125</xdr:colOff>
      <xdr:row>4</xdr:row>
      <xdr:rowOff>0</xdr:rowOff>
    </xdr:to>
    <xdr:pic>
      <xdr:nvPicPr>
        <xdr:cNvPr id="3"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3173075" y="0"/>
          <a:ext cx="1285875" cy="1657350"/>
        </a:xfrm>
        <a:prstGeom prst="rect">
          <a:avLst/>
        </a:prstGeom>
        <a:noFill/>
        <a:ln w="9525">
          <a:noFill/>
          <a:miter lim="800000"/>
          <a:headEnd/>
          <a:tailEnd/>
        </a:ln>
      </xdr:spPr>
    </xdr:pic>
    <xdr:clientData/>
  </xdr:twoCellAnchor>
  <xdr:twoCellAnchor>
    <xdr:from>
      <xdr:col>17</xdr:col>
      <xdr:colOff>390525</xdr:colOff>
      <xdr:row>0</xdr:row>
      <xdr:rowOff>0</xdr:rowOff>
    </xdr:from>
    <xdr:to>
      <xdr:col>18</xdr:col>
      <xdr:colOff>1000125</xdr:colOff>
      <xdr:row>4</xdr:row>
      <xdr:rowOff>0</xdr:rowOff>
    </xdr:to>
    <xdr:pic>
      <xdr:nvPicPr>
        <xdr:cNvPr id="4"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3173075" y="0"/>
          <a:ext cx="1285875" cy="1657350"/>
        </a:xfrm>
        <a:prstGeom prst="rect">
          <a:avLst/>
        </a:prstGeom>
        <a:noFill/>
        <a:ln w="9525">
          <a:noFill/>
          <a:miter lim="800000"/>
          <a:headEnd/>
          <a:tailEnd/>
        </a:ln>
      </xdr:spPr>
    </xdr:pic>
    <xdr:clientData/>
  </xdr:twoCellAnchor>
  <xdr:twoCellAnchor>
    <xdr:from>
      <xdr:col>17</xdr:col>
      <xdr:colOff>390525</xdr:colOff>
      <xdr:row>0</xdr:row>
      <xdr:rowOff>0</xdr:rowOff>
    </xdr:from>
    <xdr:to>
      <xdr:col>18</xdr:col>
      <xdr:colOff>1000125</xdr:colOff>
      <xdr:row>4</xdr:row>
      <xdr:rowOff>0</xdr:rowOff>
    </xdr:to>
    <xdr:pic>
      <xdr:nvPicPr>
        <xdr:cNvPr id="5"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3173075" y="0"/>
          <a:ext cx="1285875" cy="165735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17</xdr:col>
      <xdr:colOff>390525</xdr:colOff>
      <xdr:row>0</xdr:row>
      <xdr:rowOff>0</xdr:rowOff>
    </xdr:from>
    <xdr:to>
      <xdr:col>18</xdr:col>
      <xdr:colOff>1000125</xdr:colOff>
      <xdr:row>3</xdr:row>
      <xdr:rowOff>228600</xdr:rowOff>
    </xdr:to>
    <xdr:pic>
      <xdr:nvPicPr>
        <xdr:cNvPr id="2"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3277850" y="0"/>
          <a:ext cx="1333500" cy="1657350"/>
        </a:xfrm>
        <a:prstGeom prst="rect">
          <a:avLst/>
        </a:prstGeom>
        <a:noFill/>
        <a:ln w="9525">
          <a:noFill/>
          <a:miter lim="800000"/>
          <a:headEnd/>
          <a:tailEnd/>
        </a:ln>
      </xdr:spPr>
    </xdr:pic>
    <xdr:clientData/>
  </xdr:twoCellAnchor>
  <xdr:twoCellAnchor>
    <xdr:from>
      <xdr:col>17</xdr:col>
      <xdr:colOff>390525</xdr:colOff>
      <xdr:row>0</xdr:row>
      <xdr:rowOff>0</xdr:rowOff>
    </xdr:from>
    <xdr:to>
      <xdr:col>18</xdr:col>
      <xdr:colOff>1000125</xdr:colOff>
      <xdr:row>3</xdr:row>
      <xdr:rowOff>228600</xdr:rowOff>
    </xdr:to>
    <xdr:pic>
      <xdr:nvPicPr>
        <xdr:cNvPr id="3"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3277850" y="0"/>
          <a:ext cx="1333500" cy="1657350"/>
        </a:xfrm>
        <a:prstGeom prst="rect">
          <a:avLst/>
        </a:prstGeom>
        <a:noFill/>
        <a:ln w="9525">
          <a:noFill/>
          <a:miter lim="800000"/>
          <a:headEnd/>
          <a:tailEnd/>
        </a:ln>
      </xdr:spPr>
    </xdr:pic>
    <xdr:clientData/>
  </xdr:twoCellAnchor>
  <xdr:twoCellAnchor>
    <xdr:from>
      <xdr:col>17</xdr:col>
      <xdr:colOff>390525</xdr:colOff>
      <xdr:row>0</xdr:row>
      <xdr:rowOff>0</xdr:rowOff>
    </xdr:from>
    <xdr:to>
      <xdr:col>18</xdr:col>
      <xdr:colOff>1000125</xdr:colOff>
      <xdr:row>3</xdr:row>
      <xdr:rowOff>228600</xdr:rowOff>
    </xdr:to>
    <xdr:pic>
      <xdr:nvPicPr>
        <xdr:cNvPr id="4"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3277850" y="0"/>
          <a:ext cx="1333500" cy="1657350"/>
        </a:xfrm>
        <a:prstGeom prst="rect">
          <a:avLst/>
        </a:prstGeom>
        <a:noFill/>
        <a:ln w="9525">
          <a:noFill/>
          <a:miter lim="800000"/>
          <a:headEnd/>
          <a:tailEnd/>
        </a:ln>
      </xdr:spPr>
    </xdr:pic>
    <xdr:clientData/>
  </xdr:twoCellAnchor>
  <xdr:twoCellAnchor>
    <xdr:from>
      <xdr:col>17</xdr:col>
      <xdr:colOff>390525</xdr:colOff>
      <xdr:row>0</xdr:row>
      <xdr:rowOff>0</xdr:rowOff>
    </xdr:from>
    <xdr:to>
      <xdr:col>18</xdr:col>
      <xdr:colOff>1000125</xdr:colOff>
      <xdr:row>3</xdr:row>
      <xdr:rowOff>228600</xdr:rowOff>
    </xdr:to>
    <xdr:pic>
      <xdr:nvPicPr>
        <xdr:cNvPr id="5"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3277850" y="0"/>
          <a:ext cx="1333500" cy="1657350"/>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17</xdr:col>
      <xdr:colOff>390525</xdr:colOff>
      <xdr:row>0</xdr:row>
      <xdr:rowOff>0</xdr:rowOff>
    </xdr:from>
    <xdr:to>
      <xdr:col>18</xdr:col>
      <xdr:colOff>1000125</xdr:colOff>
      <xdr:row>3</xdr:row>
      <xdr:rowOff>228600</xdr:rowOff>
    </xdr:to>
    <xdr:pic>
      <xdr:nvPicPr>
        <xdr:cNvPr id="2"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3658850" y="0"/>
          <a:ext cx="1514475" cy="1657350"/>
        </a:xfrm>
        <a:prstGeom prst="rect">
          <a:avLst/>
        </a:prstGeom>
        <a:noFill/>
        <a:ln w="9525">
          <a:noFill/>
          <a:miter lim="800000"/>
          <a:headEnd/>
          <a:tailEnd/>
        </a:ln>
      </xdr:spPr>
    </xdr:pic>
    <xdr:clientData/>
  </xdr:twoCellAnchor>
  <xdr:twoCellAnchor>
    <xdr:from>
      <xdr:col>17</xdr:col>
      <xdr:colOff>390525</xdr:colOff>
      <xdr:row>0</xdr:row>
      <xdr:rowOff>0</xdr:rowOff>
    </xdr:from>
    <xdr:to>
      <xdr:col>18</xdr:col>
      <xdr:colOff>1000125</xdr:colOff>
      <xdr:row>3</xdr:row>
      <xdr:rowOff>228600</xdr:rowOff>
    </xdr:to>
    <xdr:pic>
      <xdr:nvPicPr>
        <xdr:cNvPr id="3"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3658850" y="0"/>
          <a:ext cx="1514475" cy="1657350"/>
        </a:xfrm>
        <a:prstGeom prst="rect">
          <a:avLst/>
        </a:prstGeom>
        <a:noFill/>
        <a:ln w="9525">
          <a:noFill/>
          <a:miter lim="800000"/>
          <a:headEnd/>
          <a:tailEnd/>
        </a:ln>
      </xdr:spPr>
    </xdr:pic>
    <xdr:clientData/>
  </xdr:twoCellAnchor>
  <xdr:twoCellAnchor>
    <xdr:from>
      <xdr:col>17</xdr:col>
      <xdr:colOff>390525</xdr:colOff>
      <xdr:row>0</xdr:row>
      <xdr:rowOff>0</xdr:rowOff>
    </xdr:from>
    <xdr:to>
      <xdr:col>18</xdr:col>
      <xdr:colOff>1000125</xdr:colOff>
      <xdr:row>3</xdr:row>
      <xdr:rowOff>228600</xdr:rowOff>
    </xdr:to>
    <xdr:pic>
      <xdr:nvPicPr>
        <xdr:cNvPr id="4"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3658850" y="0"/>
          <a:ext cx="1514475" cy="1657350"/>
        </a:xfrm>
        <a:prstGeom prst="rect">
          <a:avLst/>
        </a:prstGeom>
        <a:noFill/>
        <a:ln w="9525">
          <a:noFill/>
          <a:miter lim="800000"/>
          <a:headEnd/>
          <a:tailEnd/>
        </a:ln>
      </xdr:spPr>
    </xdr:pic>
    <xdr:clientData/>
  </xdr:twoCellAnchor>
  <xdr:twoCellAnchor>
    <xdr:from>
      <xdr:col>17</xdr:col>
      <xdr:colOff>390525</xdr:colOff>
      <xdr:row>0</xdr:row>
      <xdr:rowOff>0</xdr:rowOff>
    </xdr:from>
    <xdr:to>
      <xdr:col>18</xdr:col>
      <xdr:colOff>1000125</xdr:colOff>
      <xdr:row>3</xdr:row>
      <xdr:rowOff>228600</xdr:rowOff>
    </xdr:to>
    <xdr:pic>
      <xdr:nvPicPr>
        <xdr:cNvPr id="5"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3658850" y="0"/>
          <a:ext cx="1514475" cy="1657350"/>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17</xdr:col>
      <xdr:colOff>390525</xdr:colOff>
      <xdr:row>0</xdr:row>
      <xdr:rowOff>0</xdr:rowOff>
    </xdr:from>
    <xdr:to>
      <xdr:col>18</xdr:col>
      <xdr:colOff>1000125</xdr:colOff>
      <xdr:row>3</xdr:row>
      <xdr:rowOff>228600</xdr:rowOff>
    </xdr:to>
    <xdr:pic>
      <xdr:nvPicPr>
        <xdr:cNvPr id="2"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2753975" y="0"/>
          <a:ext cx="1409700" cy="1228725"/>
        </a:xfrm>
        <a:prstGeom prst="rect">
          <a:avLst/>
        </a:prstGeom>
        <a:noFill/>
        <a:ln w="9525">
          <a:noFill/>
          <a:miter lim="800000"/>
          <a:headEnd/>
          <a:tailEnd/>
        </a:ln>
      </xdr:spPr>
    </xdr:pic>
    <xdr:clientData/>
  </xdr:twoCellAnchor>
  <xdr:twoCellAnchor>
    <xdr:from>
      <xdr:col>17</xdr:col>
      <xdr:colOff>390525</xdr:colOff>
      <xdr:row>0</xdr:row>
      <xdr:rowOff>0</xdr:rowOff>
    </xdr:from>
    <xdr:to>
      <xdr:col>18</xdr:col>
      <xdr:colOff>1000125</xdr:colOff>
      <xdr:row>3</xdr:row>
      <xdr:rowOff>228600</xdr:rowOff>
    </xdr:to>
    <xdr:pic>
      <xdr:nvPicPr>
        <xdr:cNvPr id="3"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2753975" y="0"/>
          <a:ext cx="1409700" cy="1228725"/>
        </a:xfrm>
        <a:prstGeom prst="rect">
          <a:avLst/>
        </a:prstGeom>
        <a:noFill/>
        <a:ln w="9525">
          <a:noFill/>
          <a:miter lim="800000"/>
          <a:headEnd/>
          <a:tailEnd/>
        </a:ln>
      </xdr:spPr>
    </xdr:pic>
    <xdr:clientData/>
  </xdr:twoCellAnchor>
  <xdr:twoCellAnchor>
    <xdr:from>
      <xdr:col>17</xdr:col>
      <xdr:colOff>390525</xdr:colOff>
      <xdr:row>0</xdr:row>
      <xdr:rowOff>0</xdr:rowOff>
    </xdr:from>
    <xdr:to>
      <xdr:col>18</xdr:col>
      <xdr:colOff>1000125</xdr:colOff>
      <xdr:row>3</xdr:row>
      <xdr:rowOff>228600</xdr:rowOff>
    </xdr:to>
    <xdr:pic>
      <xdr:nvPicPr>
        <xdr:cNvPr id="4"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2753975" y="0"/>
          <a:ext cx="1409700" cy="1228725"/>
        </a:xfrm>
        <a:prstGeom prst="rect">
          <a:avLst/>
        </a:prstGeom>
        <a:noFill/>
        <a:ln w="9525">
          <a:noFill/>
          <a:miter lim="800000"/>
          <a:headEnd/>
          <a:tailEnd/>
        </a:ln>
      </xdr:spPr>
    </xdr:pic>
    <xdr:clientData/>
  </xdr:twoCellAnchor>
  <xdr:twoCellAnchor>
    <xdr:from>
      <xdr:col>17</xdr:col>
      <xdr:colOff>390525</xdr:colOff>
      <xdr:row>0</xdr:row>
      <xdr:rowOff>0</xdr:rowOff>
    </xdr:from>
    <xdr:to>
      <xdr:col>18</xdr:col>
      <xdr:colOff>1000125</xdr:colOff>
      <xdr:row>3</xdr:row>
      <xdr:rowOff>228600</xdr:rowOff>
    </xdr:to>
    <xdr:pic>
      <xdr:nvPicPr>
        <xdr:cNvPr id="5"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2753975" y="0"/>
          <a:ext cx="1409700" cy="122872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12</xdr:col>
      <xdr:colOff>390525</xdr:colOff>
      <xdr:row>0</xdr:row>
      <xdr:rowOff>0</xdr:rowOff>
    </xdr:from>
    <xdr:to>
      <xdr:col>13</xdr:col>
      <xdr:colOff>1000125</xdr:colOff>
      <xdr:row>3</xdr:row>
      <xdr:rowOff>228600</xdr:rowOff>
    </xdr:to>
    <xdr:pic>
      <xdr:nvPicPr>
        <xdr:cNvPr id="2"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1249025" y="0"/>
          <a:ext cx="1619250" cy="1657350"/>
        </a:xfrm>
        <a:prstGeom prst="rect">
          <a:avLst/>
        </a:prstGeom>
        <a:noFill/>
        <a:ln w="9525">
          <a:noFill/>
          <a:miter lim="800000"/>
          <a:headEnd/>
          <a:tailEnd/>
        </a:ln>
      </xdr:spPr>
    </xdr:pic>
    <xdr:clientData/>
  </xdr:twoCellAnchor>
  <xdr:twoCellAnchor>
    <xdr:from>
      <xdr:col>12</xdr:col>
      <xdr:colOff>390525</xdr:colOff>
      <xdr:row>0</xdr:row>
      <xdr:rowOff>0</xdr:rowOff>
    </xdr:from>
    <xdr:to>
      <xdr:col>13</xdr:col>
      <xdr:colOff>1000125</xdr:colOff>
      <xdr:row>3</xdr:row>
      <xdr:rowOff>228600</xdr:rowOff>
    </xdr:to>
    <xdr:pic>
      <xdr:nvPicPr>
        <xdr:cNvPr id="3"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1249025" y="0"/>
          <a:ext cx="1619250" cy="1657350"/>
        </a:xfrm>
        <a:prstGeom prst="rect">
          <a:avLst/>
        </a:prstGeom>
        <a:noFill/>
        <a:ln w="9525">
          <a:noFill/>
          <a:miter lim="800000"/>
          <a:headEnd/>
          <a:tailEnd/>
        </a:ln>
      </xdr:spPr>
    </xdr:pic>
    <xdr:clientData/>
  </xdr:twoCellAnchor>
  <xdr:twoCellAnchor>
    <xdr:from>
      <xdr:col>12</xdr:col>
      <xdr:colOff>390525</xdr:colOff>
      <xdr:row>0</xdr:row>
      <xdr:rowOff>0</xdr:rowOff>
    </xdr:from>
    <xdr:to>
      <xdr:col>13</xdr:col>
      <xdr:colOff>1000125</xdr:colOff>
      <xdr:row>3</xdr:row>
      <xdr:rowOff>228600</xdr:rowOff>
    </xdr:to>
    <xdr:pic>
      <xdr:nvPicPr>
        <xdr:cNvPr id="4"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1249025" y="0"/>
          <a:ext cx="1619250" cy="1657350"/>
        </a:xfrm>
        <a:prstGeom prst="rect">
          <a:avLst/>
        </a:prstGeom>
        <a:noFill/>
        <a:ln w="9525">
          <a:noFill/>
          <a:miter lim="800000"/>
          <a:headEnd/>
          <a:tailEnd/>
        </a:ln>
      </xdr:spPr>
    </xdr:pic>
    <xdr:clientData/>
  </xdr:twoCellAnchor>
  <xdr:twoCellAnchor>
    <xdr:from>
      <xdr:col>12</xdr:col>
      <xdr:colOff>390525</xdr:colOff>
      <xdr:row>0</xdr:row>
      <xdr:rowOff>0</xdr:rowOff>
    </xdr:from>
    <xdr:to>
      <xdr:col>13</xdr:col>
      <xdr:colOff>1000125</xdr:colOff>
      <xdr:row>3</xdr:row>
      <xdr:rowOff>228600</xdr:rowOff>
    </xdr:to>
    <xdr:pic>
      <xdr:nvPicPr>
        <xdr:cNvPr id="5"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1249025" y="0"/>
          <a:ext cx="1619250" cy="1657350"/>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absolute">
    <xdr:from>
      <xdr:col>18</xdr:col>
      <xdr:colOff>628604</xdr:colOff>
      <xdr:row>0</xdr:row>
      <xdr:rowOff>25745</xdr:rowOff>
    </xdr:from>
    <xdr:to>
      <xdr:col>19</xdr:col>
      <xdr:colOff>895349</xdr:colOff>
      <xdr:row>3</xdr:row>
      <xdr:rowOff>0</xdr:rowOff>
    </xdr:to>
    <xdr:pic>
      <xdr:nvPicPr>
        <xdr:cNvPr id="2"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4525579" y="25745"/>
          <a:ext cx="1438320" cy="151730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editAs="absolute">
    <xdr:from>
      <xdr:col>18</xdr:col>
      <xdr:colOff>628604</xdr:colOff>
      <xdr:row>0</xdr:row>
      <xdr:rowOff>25745</xdr:rowOff>
    </xdr:from>
    <xdr:to>
      <xdr:col>19</xdr:col>
      <xdr:colOff>895349</xdr:colOff>
      <xdr:row>2</xdr:row>
      <xdr:rowOff>870857</xdr:rowOff>
    </xdr:to>
    <xdr:pic>
      <xdr:nvPicPr>
        <xdr:cNvPr id="2"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4525579" y="25745"/>
          <a:ext cx="1438320" cy="151730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14</xdr:col>
          <xdr:colOff>381000</xdr:colOff>
          <xdr:row>1</xdr:row>
          <xdr:rowOff>133350</xdr:rowOff>
        </xdr:from>
        <xdr:to>
          <xdr:col>17</xdr:col>
          <xdr:colOff>523875</xdr:colOff>
          <xdr:row>2</xdr:row>
          <xdr:rowOff>161925</xdr:rowOff>
        </xdr:to>
        <xdr:sp macro="" textlink="">
          <xdr:nvSpPr>
            <xdr:cNvPr id="111617" name="Drop Down 1" hidden="1">
              <a:extLst>
                <a:ext uri="{63B3BB69-23CF-44E3-9099-C40C66FF867C}">
                  <a14:compatExt spid="_x0000_s1116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400050</xdr:colOff>
          <xdr:row>2</xdr:row>
          <xdr:rowOff>381000</xdr:rowOff>
        </xdr:from>
        <xdr:to>
          <xdr:col>15</xdr:col>
          <xdr:colOff>609600</xdr:colOff>
          <xdr:row>2</xdr:row>
          <xdr:rowOff>733425</xdr:rowOff>
        </xdr:to>
        <xdr:sp macro="" textlink="">
          <xdr:nvSpPr>
            <xdr:cNvPr id="111618" name="Drop Down 2" hidden="1">
              <a:extLst>
                <a:ext uri="{63B3BB69-23CF-44E3-9099-C40C66FF867C}">
                  <a14:compatExt spid="_x0000_s1116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xdr:row>
          <xdr:rowOff>381000</xdr:rowOff>
        </xdr:from>
        <xdr:to>
          <xdr:col>17</xdr:col>
          <xdr:colOff>523875</xdr:colOff>
          <xdr:row>2</xdr:row>
          <xdr:rowOff>733425</xdr:rowOff>
        </xdr:to>
        <xdr:sp macro="" textlink="">
          <xdr:nvSpPr>
            <xdr:cNvPr id="111620" name="Drop Down 4" hidden="1">
              <a:extLst>
                <a:ext uri="{63B3BB69-23CF-44E3-9099-C40C66FF867C}">
                  <a14:compatExt spid="_x0000_s111620"/>
                </a:ext>
              </a:extLst>
            </xdr:cNvPr>
            <xdr:cNvSpPr/>
          </xdr:nvSpPr>
          <xdr:spPr>
            <a:xfrm>
              <a:off x="0" y="0"/>
              <a:ext cx="0" cy="0"/>
            </a:xfrm>
            <a:prstGeom prst="rect">
              <a:avLst/>
            </a:prstGeom>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xdr:twoCellAnchor editAs="absolute">
    <xdr:from>
      <xdr:col>18</xdr:col>
      <xdr:colOff>642211</xdr:colOff>
      <xdr:row>0</xdr:row>
      <xdr:rowOff>25745</xdr:rowOff>
    </xdr:from>
    <xdr:to>
      <xdr:col>19</xdr:col>
      <xdr:colOff>908956</xdr:colOff>
      <xdr:row>2</xdr:row>
      <xdr:rowOff>870857</xdr:rowOff>
    </xdr:to>
    <xdr:pic>
      <xdr:nvPicPr>
        <xdr:cNvPr id="38921"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4548711" y="25745"/>
          <a:ext cx="1436959" cy="1525469"/>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14</xdr:col>
          <xdr:colOff>428625</xdr:colOff>
          <xdr:row>1</xdr:row>
          <xdr:rowOff>161925</xdr:rowOff>
        </xdr:from>
        <xdr:to>
          <xdr:col>17</xdr:col>
          <xdr:colOff>571500</xdr:colOff>
          <xdr:row>2</xdr:row>
          <xdr:rowOff>190500</xdr:rowOff>
        </xdr:to>
        <xdr:sp macro="" textlink="">
          <xdr:nvSpPr>
            <xdr:cNvPr id="38915" name="Drop Down 3" hidden="1">
              <a:extLst>
                <a:ext uri="{63B3BB69-23CF-44E3-9099-C40C66FF867C}">
                  <a14:compatExt spid="_x0000_s389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400050</xdr:colOff>
          <xdr:row>2</xdr:row>
          <xdr:rowOff>419100</xdr:rowOff>
        </xdr:from>
        <xdr:to>
          <xdr:col>15</xdr:col>
          <xdr:colOff>609600</xdr:colOff>
          <xdr:row>2</xdr:row>
          <xdr:rowOff>781050</xdr:rowOff>
        </xdr:to>
        <xdr:sp macro="" textlink="">
          <xdr:nvSpPr>
            <xdr:cNvPr id="38916" name="Drop Down 4" hidden="1">
              <a:extLst>
                <a:ext uri="{63B3BB69-23CF-44E3-9099-C40C66FF867C}">
                  <a14:compatExt spid="_x0000_s389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xdr:row>
          <xdr:rowOff>419100</xdr:rowOff>
        </xdr:from>
        <xdr:to>
          <xdr:col>17</xdr:col>
          <xdr:colOff>552450</xdr:colOff>
          <xdr:row>2</xdr:row>
          <xdr:rowOff>781050</xdr:rowOff>
        </xdr:to>
        <xdr:sp macro="" textlink="">
          <xdr:nvSpPr>
            <xdr:cNvPr id="38930" name="Drop Down 18" hidden="1">
              <a:extLst>
                <a:ext uri="{63B3BB69-23CF-44E3-9099-C40C66FF867C}">
                  <a14:compatExt spid="_x0000_s38930"/>
                </a:ext>
              </a:extLst>
            </xdr:cNvPr>
            <xdr:cNvSpPr/>
          </xdr:nvSpPr>
          <xdr:spPr>
            <a:xfrm>
              <a:off x="0" y="0"/>
              <a:ext cx="0" cy="0"/>
            </a:xfrm>
            <a:prstGeom prst="rect">
              <a:avLst/>
            </a:prstGeom>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xdr:twoCellAnchor editAs="absolute">
    <xdr:from>
      <xdr:col>18</xdr:col>
      <xdr:colOff>639535</xdr:colOff>
      <xdr:row>0</xdr:row>
      <xdr:rowOff>0</xdr:rowOff>
    </xdr:from>
    <xdr:to>
      <xdr:col>19</xdr:col>
      <xdr:colOff>1038224</xdr:colOff>
      <xdr:row>2</xdr:row>
      <xdr:rowOff>896257</xdr:rowOff>
    </xdr:to>
    <xdr:pic>
      <xdr:nvPicPr>
        <xdr:cNvPr id="39943"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4042571" y="0"/>
          <a:ext cx="1432832" cy="1576614"/>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14</xdr:col>
          <xdr:colOff>257175</xdr:colOff>
          <xdr:row>1</xdr:row>
          <xdr:rowOff>161925</xdr:rowOff>
        </xdr:from>
        <xdr:to>
          <xdr:col>17</xdr:col>
          <xdr:colOff>762000</xdr:colOff>
          <xdr:row>2</xdr:row>
          <xdr:rowOff>200025</xdr:rowOff>
        </xdr:to>
        <xdr:sp macro="" textlink="">
          <xdr:nvSpPr>
            <xdr:cNvPr id="39939" name="Drop Down 3" hidden="1">
              <a:extLst>
                <a:ext uri="{63B3BB69-23CF-44E3-9099-C40C66FF867C}">
                  <a14:compatExt spid="_x0000_s399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2</xdr:row>
          <xdr:rowOff>419100</xdr:rowOff>
        </xdr:from>
        <xdr:to>
          <xdr:col>15</xdr:col>
          <xdr:colOff>542925</xdr:colOff>
          <xdr:row>2</xdr:row>
          <xdr:rowOff>771525</xdr:rowOff>
        </xdr:to>
        <xdr:sp macro="" textlink="">
          <xdr:nvSpPr>
            <xdr:cNvPr id="39941" name="Drop Down 5" hidden="1">
              <a:extLst>
                <a:ext uri="{63B3BB69-23CF-44E3-9099-C40C66FF867C}">
                  <a14:compatExt spid="_x0000_s399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2</xdr:row>
          <xdr:rowOff>400050</xdr:rowOff>
        </xdr:from>
        <xdr:to>
          <xdr:col>17</xdr:col>
          <xdr:colOff>714375</xdr:colOff>
          <xdr:row>2</xdr:row>
          <xdr:rowOff>762000</xdr:rowOff>
        </xdr:to>
        <xdr:sp macro="" textlink="">
          <xdr:nvSpPr>
            <xdr:cNvPr id="39942" name="Drop Down 6" hidden="1">
              <a:extLst>
                <a:ext uri="{63B3BB69-23CF-44E3-9099-C40C66FF867C}">
                  <a14:compatExt spid="_x0000_s3994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17</xdr:col>
      <xdr:colOff>390525</xdr:colOff>
      <xdr:row>0</xdr:row>
      <xdr:rowOff>0</xdr:rowOff>
    </xdr:from>
    <xdr:to>
      <xdr:col>18</xdr:col>
      <xdr:colOff>1000125</xdr:colOff>
      <xdr:row>4</xdr:row>
      <xdr:rowOff>0</xdr:rowOff>
    </xdr:to>
    <xdr:pic>
      <xdr:nvPicPr>
        <xdr:cNvPr id="20572"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3173075" y="0"/>
          <a:ext cx="1285875" cy="1657350"/>
        </a:xfrm>
        <a:prstGeom prst="rect">
          <a:avLst/>
        </a:prstGeom>
        <a:noFill/>
        <a:ln w="9525">
          <a:noFill/>
          <a:miter lim="800000"/>
          <a:headEnd/>
          <a:tailEnd/>
        </a:ln>
      </xdr:spPr>
    </xdr:pic>
    <xdr:clientData/>
  </xdr:twoCellAnchor>
  <xdr:twoCellAnchor>
    <xdr:from>
      <xdr:col>17</xdr:col>
      <xdr:colOff>390525</xdr:colOff>
      <xdr:row>0</xdr:row>
      <xdr:rowOff>0</xdr:rowOff>
    </xdr:from>
    <xdr:to>
      <xdr:col>18</xdr:col>
      <xdr:colOff>1000125</xdr:colOff>
      <xdr:row>4</xdr:row>
      <xdr:rowOff>0</xdr:rowOff>
    </xdr:to>
    <xdr:pic>
      <xdr:nvPicPr>
        <xdr:cNvPr id="20573"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3173075" y="0"/>
          <a:ext cx="1285875" cy="1657350"/>
        </a:xfrm>
        <a:prstGeom prst="rect">
          <a:avLst/>
        </a:prstGeom>
        <a:noFill/>
        <a:ln w="9525">
          <a:noFill/>
          <a:miter lim="800000"/>
          <a:headEnd/>
          <a:tailEnd/>
        </a:ln>
      </xdr:spPr>
    </xdr:pic>
    <xdr:clientData/>
  </xdr:twoCellAnchor>
  <xdr:twoCellAnchor>
    <xdr:from>
      <xdr:col>17</xdr:col>
      <xdr:colOff>390525</xdr:colOff>
      <xdr:row>0</xdr:row>
      <xdr:rowOff>0</xdr:rowOff>
    </xdr:from>
    <xdr:to>
      <xdr:col>18</xdr:col>
      <xdr:colOff>1000125</xdr:colOff>
      <xdr:row>4</xdr:row>
      <xdr:rowOff>0</xdr:rowOff>
    </xdr:to>
    <xdr:pic>
      <xdr:nvPicPr>
        <xdr:cNvPr id="20574"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3173075" y="0"/>
          <a:ext cx="1285875" cy="1657350"/>
        </a:xfrm>
        <a:prstGeom prst="rect">
          <a:avLst/>
        </a:prstGeom>
        <a:noFill/>
        <a:ln w="9525">
          <a:noFill/>
          <a:miter lim="800000"/>
          <a:headEnd/>
          <a:tailEnd/>
        </a:ln>
      </xdr:spPr>
    </xdr:pic>
    <xdr:clientData/>
  </xdr:twoCellAnchor>
  <xdr:twoCellAnchor>
    <xdr:from>
      <xdr:col>17</xdr:col>
      <xdr:colOff>390525</xdr:colOff>
      <xdr:row>0</xdr:row>
      <xdr:rowOff>0</xdr:rowOff>
    </xdr:from>
    <xdr:to>
      <xdr:col>18</xdr:col>
      <xdr:colOff>1000125</xdr:colOff>
      <xdr:row>4</xdr:row>
      <xdr:rowOff>0</xdr:rowOff>
    </xdr:to>
    <xdr:pic>
      <xdr:nvPicPr>
        <xdr:cNvPr id="20575"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3173075" y="0"/>
          <a:ext cx="1285875" cy="1657350"/>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editAs="absolute">
    <xdr:from>
      <xdr:col>18</xdr:col>
      <xdr:colOff>435429</xdr:colOff>
      <xdr:row>0</xdr:row>
      <xdr:rowOff>0</xdr:rowOff>
    </xdr:from>
    <xdr:to>
      <xdr:col>20</xdr:col>
      <xdr:colOff>0</xdr:colOff>
      <xdr:row>2</xdr:row>
      <xdr:rowOff>937422</xdr:rowOff>
    </xdr:to>
    <xdr:pic>
      <xdr:nvPicPr>
        <xdr:cNvPr id="40968"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4273893" y="0"/>
          <a:ext cx="1457324" cy="1617779"/>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14</xdr:col>
          <xdr:colOff>247650</xdr:colOff>
          <xdr:row>1</xdr:row>
          <xdr:rowOff>142875</xdr:rowOff>
        </xdr:from>
        <xdr:to>
          <xdr:col>17</xdr:col>
          <xdr:colOff>704850</xdr:colOff>
          <xdr:row>2</xdr:row>
          <xdr:rowOff>180975</xdr:rowOff>
        </xdr:to>
        <xdr:sp macro="" textlink="">
          <xdr:nvSpPr>
            <xdr:cNvPr id="40964" name="Drop Down 4" hidden="1">
              <a:extLst>
                <a:ext uri="{63B3BB69-23CF-44E3-9099-C40C66FF867C}">
                  <a14:compatExt spid="_x0000_s409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238125</xdr:colOff>
          <xdr:row>2</xdr:row>
          <xdr:rowOff>400050</xdr:rowOff>
        </xdr:from>
        <xdr:to>
          <xdr:col>15</xdr:col>
          <xdr:colOff>666750</xdr:colOff>
          <xdr:row>2</xdr:row>
          <xdr:rowOff>742950</xdr:rowOff>
        </xdr:to>
        <xdr:sp macro="" textlink="">
          <xdr:nvSpPr>
            <xdr:cNvPr id="40966" name="Drop Down 6" hidden="1">
              <a:extLst>
                <a:ext uri="{63B3BB69-23CF-44E3-9099-C40C66FF867C}">
                  <a14:compatExt spid="_x0000_s409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390525</xdr:colOff>
          <xdr:row>2</xdr:row>
          <xdr:rowOff>409575</xdr:rowOff>
        </xdr:from>
        <xdr:to>
          <xdr:col>17</xdr:col>
          <xdr:colOff>695325</xdr:colOff>
          <xdr:row>2</xdr:row>
          <xdr:rowOff>762000</xdr:rowOff>
        </xdr:to>
        <xdr:sp macro="" textlink="">
          <xdr:nvSpPr>
            <xdr:cNvPr id="40967" name="Drop Down 7" hidden="1">
              <a:extLst>
                <a:ext uri="{63B3BB69-23CF-44E3-9099-C40C66FF867C}">
                  <a14:compatExt spid="_x0000_s40967"/>
                </a:ext>
              </a:extLst>
            </xdr:cNvPr>
            <xdr:cNvSpPr/>
          </xdr:nvSpPr>
          <xdr:spPr>
            <a:xfrm>
              <a:off x="0" y="0"/>
              <a:ext cx="0" cy="0"/>
            </a:xfrm>
            <a:prstGeom prst="rect">
              <a:avLst/>
            </a:prstGeom>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xdr:twoCellAnchor>
    <xdr:from>
      <xdr:col>18</xdr:col>
      <xdr:colOff>666748</xdr:colOff>
      <xdr:row>0</xdr:row>
      <xdr:rowOff>68036</xdr:rowOff>
    </xdr:from>
    <xdr:to>
      <xdr:col>19</xdr:col>
      <xdr:colOff>1122588</xdr:colOff>
      <xdr:row>3</xdr:row>
      <xdr:rowOff>137699</xdr:rowOff>
    </xdr:to>
    <xdr:pic>
      <xdr:nvPicPr>
        <xdr:cNvPr id="41992"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4627677" y="68036"/>
          <a:ext cx="1462768" cy="151202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14</xdr:col>
          <xdr:colOff>733425</xdr:colOff>
          <xdr:row>0</xdr:row>
          <xdr:rowOff>104775</xdr:rowOff>
        </xdr:from>
        <xdr:to>
          <xdr:col>18</xdr:col>
          <xdr:colOff>314325</xdr:colOff>
          <xdr:row>1</xdr:row>
          <xdr:rowOff>142875</xdr:rowOff>
        </xdr:to>
        <xdr:sp macro="" textlink="">
          <xdr:nvSpPr>
            <xdr:cNvPr id="41988" name="Drop Down 4" hidden="1">
              <a:extLst>
                <a:ext uri="{63B3BB69-23CF-44E3-9099-C40C66FF867C}">
                  <a14:compatExt spid="_x0000_s419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304800</xdr:colOff>
          <xdr:row>1</xdr:row>
          <xdr:rowOff>219075</xdr:rowOff>
        </xdr:from>
        <xdr:to>
          <xdr:col>16</xdr:col>
          <xdr:colOff>657225</xdr:colOff>
          <xdr:row>2</xdr:row>
          <xdr:rowOff>228600</xdr:rowOff>
        </xdr:to>
        <xdr:sp macro="" textlink="">
          <xdr:nvSpPr>
            <xdr:cNvPr id="41990" name="Drop Down 6" hidden="1">
              <a:extLst>
                <a:ext uri="{63B3BB69-23CF-44E3-9099-C40C66FF867C}">
                  <a14:compatExt spid="_x0000_s419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xdr:row>
          <xdr:rowOff>219075</xdr:rowOff>
        </xdr:from>
        <xdr:to>
          <xdr:col>18</xdr:col>
          <xdr:colOff>276225</xdr:colOff>
          <xdr:row>2</xdr:row>
          <xdr:rowOff>228600</xdr:rowOff>
        </xdr:to>
        <xdr:sp macro="" textlink="">
          <xdr:nvSpPr>
            <xdr:cNvPr id="41991" name="Drop Down 7" hidden="1">
              <a:extLst>
                <a:ext uri="{63B3BB69-23CF-44E3-9099-C40C66FF867C}">
                  <a14:compatExt spid="_x0000_s41991"/>
                </a:ext>
              </a:extLst>
            </xdr:cNvPr>
            <xdr:cNvSpPr/>
          </xdr:nvSpPr>
          <xdr:spPr>
            <a:xfrm>
              <a:off x="0" y="0"/>
              <a:ext cx="0" cy="0"/>
            </a:xfrm>
            <a:prstGeom prst="rect">
              <a:avLst/>
            </a:prstGeom>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xdr:twoCellAnchor editAs="absolute">
    <xdr:from>
      <xdr:col>18</xdr:col>
      <xdr:colOff>462643</xdr:colOff>
      <xdr:row>0</xdr:row>
      <xdr:rowOff>0</xdr:rowOff>
    </xdr:from>
    <xdr:to>
      <xdr:col>19</xdr:col>
      <xdr:colOff>1000124</xdr:colOff>
      <xdr:row>2</xdr:row>
      <xdr:rowOff>937422</xdr:rowOff>
    </xdr:to>
    <xdr:pic>
      <xdr:nvPicPr>
        <xdr:cNvPr id="2"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4301107" y="0"/>
          <a:ext cx="1449160" cy="1617779"/>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14</xdr:col>
          <xdr:colOff>266700</xdr:colOff>
          <xdr:row>1</xdr:row>
          <xdr:rowOff>142875</xdr:rowOff>
        </xdr:from>
        <xdr:to>
          <xdr:col>17</xdr:col>
          <xdr:colOff>733425</xdr:colOff>
          <xdr:row>2</xdr:row>
          <xdr:rowOff>180975</xdr:rowOff>
        </xdr:to>
        <xdr:sp macro="" textlink="">
          <xdr:nvSpPr>
            <xdr:cNvPr id="47105" name="Drop Down 1" hidden="1">
              <a:extLst>
                <a:ext uri="{63B3BB69-23CF-44E3-9099-C40C66FF867C}">
                  <a14:compatExt spid="_x0000_s47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276225</xdr:colOff>
          <xdr:row>2</xdr:row>
          <xdr:rowOff>409575</xdr:rowOff>
        </xdr:from>
        <xdr:to>
          <xdr:col>15</xdr:col>
          <xdr:colOff>704850</xdr:colOff>
          <xdr:row>2</xdr:row>
          <xdr:rowOff>762000</xdr:rowOff>
        </xdr:to>
        <xdr:sp macro="" textlink="">
          <xdr:nvSpPr>
            <xdr:cNvPr id="47106" name="Drop Down 2" hidden="1">
              <a:extLst>
                <a:ext uri="{63B3BB69-23CF-44E3-9099-C40C66FF867C}">
                  <a14:compatExt spid="_x0000_s47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2</xdr:row>
          <xdr:rowOff>438150</xdr:rowOff>
        </xdr:from>
        <xdr:to>
          <xdr:col>17</xdr:col>
          <xdr:colOff>723900</xdr:colOff>
          <xdr:row>2</xdr:row>
          <xdr:rowOff>790575</xdr:rowOff>
        </xdr:to>
        <xdr:sp macro="" textlink="">
          <xdr:nvSpPr>
            <xdr:cNvPr id="47107" name="Drop Down 3" hidden="1">
              <a:extLst>
                <a:ext uri="{63B3BB69-23CF-44E3-9099-C40C66FF867C}">
                  <a14:compatExt spid="_x0000_s47107"/>
                </a:ext>
              </a:extLst>
            </xdr:cNvPr>
            <xdr:cNvSpPr/>
          </xdr:nvSpPr>
          <xdr:spPr>
            <a:xfrm>
              <a:off x="0" y="0"/>
              <a:ext cx="0" cy="0"/>
            </a:xfrm>
            <a:prstGeom prst="rect">
              <a:avLst/>
            </a:prstGeom>
          </xdr:spPr>
        </xdr:sp>
        <xdr:clientData/>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xdr:row>
          <xdr:rowOff>28575</xdr:rowOff>
        </xdr:from>
        <xdr:to>
          <xdr:col>13</xdr:col>
          <xdr:colOff>1190625</xdr:colOff>
          <xdr:row>4</xdr:row>
          <xdr:rowOff>104775</xdr:rowOff>
        </xdr:to>
        <xdr:sp macro="" textlink="">
          <xdr:nvSpPr>
            <xdr:cNvPr id="44033" name="Drop Down 1" hidden="1">
              <a:extLst>
                <a:ext uri="{63B3BB69-23CF-44E3-9099-C40C66FF867C}">
                  <a14:compatExt spid="_x0000_s44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4</xdr:row>
          <xdr:rowOff>190500</xdr:rowOff>
        </xdr:from>
        <xdr:to>
          <xdr:col>12</xdr:col>
          <xdr:colOff>28575</xdr:colOff>
          <xdr:row>6</xdr:row>
          <xdr:rowOff>76200</xdr:rowOff>
        </xdr:to>
        <xdr:sp macro="" textlink="">
          <xdr:nvSpPr>
            <xdr:cNvPr id="44036" name="Drop Down 4" hidden="1">
              <a:extLst>
                <a:ext uri="{63B3BB69-23CF-44E3-9099-C40C66FF867C}">
                  <a14:compatExt spid="_x0000_s44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xdr:row>
          <xdr:rowOff>190500</xdr:rowOff>
        </xdr:from>
        <xdr:to>
          <xdr:col>13</xdr:col>
          <xdr:colOff>819150</xdr:colOff>
          <xdr:row>6</xdr:row>
          <xdr:rowOff>76200</xdr:rowOff>
        </xdr:to>
        <xdr:sp macro="" textlink="">
          <xdr:nvSpPr>
            <xdr:cNvPr id="44037" name="Drop Down 5" hidden="1">
              <a:extLst>
                <a:ext uri="{63B3BB69-23CF-44E3-9099-C40C66FF867C}">
                  <a14:compatExt spid="_x0000_s44037"/>
                </a:ext>
              </a:extLst>
            </xdr:cNvPr>
            <xdr:cNvSpPr/>
          </xdr:nvSpPr>
          <xdr:spPr>
            <a:xfrm>
              <a:off x="0" y="0"/>
              <a:ext cx="0" cy="0"/>
            </a:xfrm>
            <a:prstGeom prst="rect">
              <a:avLst/>
            </a:prstGeom>
          </xdr:spPr>
        </xdr:sp>
        <xdr:clientData/>
      </xdr:twoCellAnchor>
    </mc:Choice>
    <mc:Fallback/>
  </mc:AlternateContent>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66675</xdr:colOff>
          <xdr:row>2</xdr:row>
          <xdr:rowOff>352425</xdr:rowOff>
        </xdr:from>
        <xdr:to>
          <xdr:col>16</xdr:col>
          <xdr:colOff>428625</xdr:colOff>
          <xdr:row>2</xdr:row>
          <xdr:rowOff>571500</xdr:rowOff>
        </xdr:to>
        <xdr:sp macro="" textlink="">
          <xdr:nvSpPr>
            <xdr:cNvPr id="45058" name="Drop Down 2" hidden="1">
              <a:extLst>
                <a:ext uri="{63B3BB69-23CF-44E3-9099-C40C66FF867C}">
                  <a14:compatExt spid="_x0000_s45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2</xdr:row>
          <xdr:rowOff>790575</xdr:rowOff>
        </xdr:from>
        <xdr:to>
          <xdr:col>14</xdr:col>
          <xdr:colOff>361950</xdr:colOff>
          <xdr:row>2</xdr:row>
          <xdr:rowOff>1000125</xdr:rowOff>
        </xdr:to>
        <xdr:sp macro="" textlink="">
          <xdr:nvSpPr>
            <xdr:cNvPr id="45060" name="Drop Down 4" hidden="1">
              <a:extLst>
                <a:ext uri="{63B3BB69-23CF-44E3-9099-C40C66FF867C}">
                  <a14:compatExt spid="_x0000_s45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390525</xdr:colOff>
          <xdr:row>2</xdr:row>
          <xdr:rowOff>800100</xdr:rowOff>
        </xdr:from>
        <xdr:to>
          <xdr:col>16</xdr:col>
          <xdr:colOff>390525</xdr:colOff>
          <xdr:row>2</xdr:row>
          <xdr:rowOff>1000125</xdr:rowOff>
        </xdr:to>
        <xdr:sp macro="" textlink="">
          <xdr:nvSpPr>
            <xdr:cNvPr id="45061" name="Drop Down 5" hidden="1">
              <a:extLst>
                <a:ext uri="{63B3BB69-23CF-44E3-9099-C40C66FF867C}">
                  <a14:compatExt spid="_x0000_s45061"/>
                </a:ext>
              </a:extLst>
            </xdr:cNvPr>
            <xdr:cNvSpPr/>
          </xdr:nvSpPr>
          <xdr:spPr>
            <a:xfrm>
              <a:off x="0" y="0"/>
              <a:ext cx="0" cy="0"/>
            </a:xfrm>
            <a:prstGeom prst="rect">
              <a:avLst/>
            </a:prstGeom>
          </xdr:spPr>
        </xdr:sp>
        <xdr:clientData/>
      </xdr:twoCellAnchor>
    </mc:Choice>
    <mc:Fallback/>
  </mc:AlternateContent>
  <xdr:twoCellAnchor editAs="absolute">
    <xdr:from>
      <xdr:col>0</xdr:col>
      <xdr:colOff>19049</xdr:colOff>
      <xdr:row>1</xdr:row>
      <xdr:rowOff>19050</xdr:rowOff>
    </xdr:from>
    <xdr:to>
      <xdr:col>0</xdr:col>
      <xdr:colOff>809624</xdr:colOff>
      <xdr:row>2</xdr:row>
      <xdr:rowOff>711112</xdr:rowOff>
    </xdr:to>
    <xdr:pic>
      <xdr:nvPicPr>
        <xdr:cNvPr id="5"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9049" y="19050"/>
          <a:ext cx="790575" cy="882562"/>
        </a:xfrm>
        <a:prstGeom prst="rect">
          <a:avLst/>
        </a:prstGeom>
        <a:noFill/>
        <a:ln w="9525">
          <a:noFill/>
          <a:miter lim="800000"/>
          <a:headEnd/>
          <a:tailEnd/>
        </a:ln>
      </xdr:spPr>
    </xdr:pic>
    <xdr:clientData/>
  </xdr:twoCellAnchor>
</xdr:wsDr>
</file>

<file path=xl/drawings/drawing25.xml><?xml version="1.0" encoding="utf-8"?>
<xdr:wsDr xmlns:xdr="http://schemas.openxmlformats.org/drawingml/2006/spreadsheetDrawing" xmlns:a="http://schemas.openxmlformats.org/drawingml/2006/main">
  <xdr:twoCellAnchor editAs="absolute">
    <xdr:from>
      <xdr:col>17</xdr:col>
      <xdr:colOff>655817</xdr:colOff>
      <xdr:row>0</xdr:row>
      <xdr:rowOff>25745</xdr:rowOff>
    </xdr:from>
    <xdr:to>
      <xdr:col>18</xdr:col>
      <xdr:colOff>922561</xdr:colOff>
      <xdr:row>3</xdr:row>
      <xdr:rowOff>0</xdr:rowOff>
    </xdr:to>
    <xdr:pic>
      <xdr:nvPicPr>
        <xdr:cNvPr id="2"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2888638" y="25745"/>
          <a:ext cx="1436959" cy="1661541"/>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13</xdr:col>
          <xdr:colOff>304800</xdr:colOff>
          <xdr:row>1</xdr:row>
          <xdr:rowOff>257175</xdr:rowOff>
        </xdr:from>
        <xdr:to>
          <xdr:col>17</xdr:col>
          <xdr:colOff>495300</xdr:colOff>
          <xdr:row>2</xdr:row>
          <xdr:rowOff>295275</xdr:rowOff>
        </xdr:to>
        <xdr:sp macro="" textlink="">
          <xdr:nvSpPr>
            <xdr:cNvPr id="69633" name="Drop Down 1" hidden="1">
              <a:extLst>
                <a:ext uri="{63B3BB69-23CF-44E3-9099-C40C66FF867C}">
                  <a14:compatExt spid="_x0000_s696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2</xdr:row>
          <xdr:rowOff>476250</xdr:rowOff>
        </xdr:from>
        <xdr:to>
          <xdr:col>14</xdr:col>
          <xdr:colOff>714375</xdr:colOff>
          <xdr:row>2</xdr:row>
          <xdr:rowOff>838200</xdr:rowOff>
        </xdr:to>
        <xdr:sp macro="" textlink="">
          <xdr:nvSpPr>
            <xdr:cNvPr id="69634" name="Drop Down 2" hidden="1">
              <a:extLst>
                <a:ext uri="{63B3BB69-23CF-44E3-9099-C40C66FF867C}">
                  <a14:compatExt spid="_x0000_s696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2</xdr:row>
          <xdr:rowOff>476250</xdr:rowOff>
        </xdr:from>
        <xdr:to>
          <xdr:col>17</xdr:col>
          <xdr:colOff>485775</xdr:colOff>
          <xdr:row>2</xdr:row>
          <xdr:rowOff>838200</xdr:rowOff>
        </xdr:to>
        <xdr:sp macro="" textlink="">
          <xdr:nvSpPr>
            <xdr:cNvPr id="69635" name="Drop Down 3" hidden="1">
              <a:extLst>
                <a:ext uri="{63B3BB69-23CF-44E3-9099-C40C66FF867C}">
                  <a14:compatExt spid="_x0000_s69635"/>
                </a:ext>
              </a:extLst>
            </xdr:cNvPr>
            <xdr:cNvSpPr/>
          </xdr:nvSpPr>
          <xdr:spPr>
            <a:xfrm>
              <a:off x="0" y="0"/>
              <a:ext cx="0" cy="0"/>
            </a:xfrm>
            <a:prstGeom prst="rect">
              <a:avLst/>
            </a:prstGeom>
          </xdr:spPr>
        </xdr:sp>
        <xdr:clientData/>
      </xdr:twoCellAnchor>
    </mc:Choice>
    <mc:Fallback/>
  </mc:AlternateContent>
</xdr:wsDr>
</file>

<file path=xl/drawings/drawing26.xml><?xml version="1.0" encoding="utf-8"?>
<xdr:wsDr xmlns:xdr="http://schemas.openxmlformats.org/drawingml/2006/spreadsheetDrawing" xmlns:a="http://schemas.openxmlformats.org/drawingml/2006/main">
  <xdr:twoCellAnchor>
    <xdr:from>
      <xdr:col>14</xdr:col>
      <xdr:colOff>390525</xdr:colOff>
      <xdr:row>0</xdr:row>
      <xdr:rowOff>0</xdr:rowOff>
    </xdr:from>
    <xdr:to>
      <xdr:col>15</xdr:col>
      <xdr:colOff>1000125</xdr:colOff>
      <xdr:row>3</xdr:row>
      <xdr:rowOff>228600</xdr:rowOff>
    </xdr:to>
    <xdr:pic>
      <xdr:nvPicPr>
        <xdr:cNvPr id="46083"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2982575" y="0"/>
          <a:ext cx="1619250" cy="1657350"/>
        </a:xfrm>
        <a:prstGeom prst="rect">
          <a:avLst/>
        </a:prstGeom>
        <a:noFill/>
        <a:ln w="9525">
          <a:noFill/>
          <a:miter lim="800000"/>
          <a:headEnd/>
          <a:tailEnd/>
        </a:ln>
      </xdr:spPr>
    </xdr:pic>
    <xdr:clientData/>
  </xdr:twoCellAnchor>
</xdr:wsDr>
</file>

<file path=xl/drawings/drawing27.xml><?xml version="1.0" encoding="utf-8"?>
<xdr:wsDr xmlns:xdr="http://schemas.openxmlformats.org/drawingml/2006/spreadsheetDrawing" xmlns:a="http://schemas.openxmlformats.org/drawingml/2006/main">
  <xdr:twoCellAnchor>
    <xdr:from>
      <xdr:col>11</xdr:col>
      <xdr:colOff>390525</xdr:colOff>
      <xdr:row>0</xdr:row>
      <xdr:rowOff>0</xdr:rowOff>
    </xdr:from>
    <xdr:to>
      <xdr:col>12</xdr:col>
      <xdr:colOff>1000125</xdr:colOff>
      <xdr:row>3</xdr:row>
      <xdr:rowOff>228600</xdr:rowOff>
    </xdr:to>
    <xdr:pic>
      <xdr:nvPicPr>
        <xdr:cNvPr id="2"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2334875" y="0"/>
          <a:ext cx="1619250" cy="1657350"/>
        </a:xfrm>
        <a:prstGeom prst="rect">
          <a:avLst/>
        </a:prstGeom>
        <a:noFill/>
        <a:ln w="9525">
          <a:noFill/>
          <a:miter lim="800000"/>
          <a:headEnd/>
          <a:tailEnd/>
        </a:ln>
      </xdr:spPr>
    </xdr:pic>
    <xdr:clientData/>
  </xdr:twoCellAnchor>
  <xdr:twoCellAnchor editAs="oneCell">
    <xdr:from>
      <xdr:col>4</xdr:col>
      <xdr:colOff>561975</xdr:colOff>
      <xdr:row>1</xdr:row>
      <xdr:rowOff>190500</xdr:rowOff>
    </xdr:from>
    <xdr:to>
      <xdr:col>10</xdr:col>
      <xdr:colOff>742950</xdr:colOff>
      <xdr:row>4</xdr:row>
      <xdr:rowOff>200025</xdr:rowOff>
    </xdr:to>
    <xdr:pic>
      <xdr:nvPicPr>
        <xdr:cNvPr id="3" name="Picture 15"/>
        <xdr:cNvPicPr>
          <a:picLocks noChangeAspect="1" noChangeArrowheads="1"/>
        </xdr:cNvPicPr>
      </xdr:nvPicPr>
      <xdr:blipFill>
        <a:blip xmlns:r="http://schemas.openxmlformats.org/officeDocument/2006/relationships" r:embed="rId2" cstate="print"/>
        <a:srcRect/>
        <a:stretch>
          <a:fillRect/>
        </a:stretch>
      </xdr:blipFill>
      <xdr:spPr bwMode="auto">
        <a:xfrm>
          <a:off x="6819900" y="523875"/>
          <a:ext cx="4905375" cy="1333500"/>
        </a:xfrm>
        <a:prstGeom prst="rect">
          <a:avLst/>
        </a:prstGeom>
        <a:noFill/>
        <a:ln w="9525">
          <a:noFill/>
          <a:miter lim="800000"/>
          <a:headEnd/>
          <a:tailEnd/>
        </a:ln>
      </xdr:spPr>
    </xdr:pic>
    <xdr:clientData/>
  </xdr:twoCellAnchor>
</xdr:wsDr>
</file>

<file path=xl/drawings/drawing28.xml><?xml version="1.0" encoding="utf-8"?>
<xdr:wsDr xmlns:xdr="http://schemas.openxmlformats.org/drawingml/2006/spreadsheetDrawing" xmlns:a="http://schemas.openxmlformats.org/drawingml/2006/main">
  <xdr:twoCellAnchor>
    <xdr:from>
      <xdr:col>11</xdr:col>
      <xdr:colOff>390525</xdr:colOff>
      <xdr:row>0</xdr:row>
      <xdr:rowOff>0</xdr:rowOff>
    </xdr:from>
    <xdr:to>
      <xdr:col>12</xdr:col>
      <xdr:colOff>1000125</xdr:colOff>
      <xdr:row>3</xdr:row>
      <xdr:rowOff>228600</xdr:rowOff>
    </xdr:to>
    <xdr:pic>
      <xdr:nvPicPr>
        <xdr:cNvPr id="2"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2334875" y="0"/>
          <a:ext cx="1619250" cy="1657350"/>
        </a:xfrm>
        <a:prstGeom prst="rect">
          <a:avLst/>
        </a:prstGeom>
        <a:noFill/>
        <a:ln w="9525">
          <a:noFill/>
          <a:miter lim="800000"/>
          <a:headEnd/>
          <a:tailEnd/>
        </a:ln>
      </xdr:spPr>
    </xdr:pic>
    <xdr:clientData/>
  </xdr:twoCellAnchor>
  <xdr:twoCellAnchor editAs="oneCell">
    <xdr:from>
      <xdr:col>4</xdr:col>
      <xdr:colOff>561975</xdr:colOff>
      <xdr:row>1</xdr:row>
      <xdr:rowOff>190500</xdr:rowOff>
    </xdr:from>
    <xdr:to>
      <xdr:col>10</xdr:col>
      <xdr:colOff>742950</xdr:colOff>
      <xdr:row>4</xdr:row>
      <xdr:rowOff>200025</xdr:rowOff>
    </xdr:to>
    <xdr:pic>
      <xdr:nvPicPr>
        <xdr:cNvPr id="3" name="Picture 15"/>
        <xdr:cNvPicPr>
          <a:picLocks noChangeAspect="1" noChangeArrowheads="1"/>
        </xdr:cNvPicPr>
      </xdr:nvPicPr>
      <xdr:blipFill>
        <a:blip xmlns:r="http://schemas.openxmlformats.org/officeDocument/2006/relationships" r:embed="rId2" cstate="print"/>
        <a:srcRect/>
        <a:stretch>
          <a:fillRect/>
        </a:stretch>
      </xdr:blipFill>
      <xdr:spPr bwMode="auto">
        <a:xfrm>
          <a:off x="6819900" y="523875"/>
          <a:ext cx="4905375" cy="1333500"/>
        </a:xfrm>
        <a:prstGeom prst="rect">
          <a:avLst/>
        </a:prstGeom>
        <a:noFill/>
        <a:ln w="9525">
          <a:noFill/>
          <a:miter lim="800000"/>
          <a:headEnd/>
          <a:tailEnd/>
        </a:ln>
      </xdr:spPr>
    </xdr:pic>
    <xdr:clientData/>
  </xdr:twoCellAnchor>
</xdr:wsDr>
</file>

<file path=xl/drawings/drawing29.xml><?xml version="1.0" encoding="utf-8"?>
<xdr:wsDr xmlns:xdr="http://schemas.openxmlformats.org/drawingml/2006/spreadsheetDrawing" xmlns:a="http://schemas.openxmlformats.org/drawingml/2006/main">
  <xdr:twoCellAnchor>
    <xdr:from>
      <xdr:col>11</xdr:col>
      <xdr:colOff>390525</xdr:colOff>
      <xdr:row>0</xdr:row>
      <xdr:rowOff>0</xdr:rowOff>
    </xdr:from>
    <xdr:to>
      <xdr:col>12</xdr:col>
      <xdr:colOff>1000125</xdr:colOff>
      <xdr:row>3</xdr:row>
      <xdr:rowOff>228600</xdr:rowOff>
    </xdr:to>
    <xdr:pic>
      <xdr:nvPicPr>
        <xdr:cNvPr id="2"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2334875" y="0"/>
          <a:ext cx="1619250" cy="1657350"/>
        </a:xfrm>
        <a:prstGeom prst="rect">
          <a:avLst/>
        </a:prstGeom>
        <a:noFill/>
        <a:ln w="9525">
          <a:noFill/>
          <a:miter lim="800000"/>
          <a:headEnd/>
          <a:tailEnd/>
        </a:ln>
      </xdr:spPr>
    </xdr:pic>
    <xdr:clientData/>
  </xdr:twoCellAnchor>
  <xdr:twoCellAnchor editAs="oneCell">
    <xdr:from>
      <xdr:col>4</xdr:col>
      <xdr:colOff>561975</xdr:colOff>
      <xdr:row>1</xdr:row>
      <xdr:rowOff>190500</xdr:rowOff>
    </xdr:from>
    <xdr:to>
      <xdr:col>10</xdr:col>
      <xdr:colOff>742950</xdr:colOff>
      <xdr:row>4</xdr:row>
      <xdr:rowOff>200025</xdr:rowOff>
    </xdr:to>
    <xdr:pic>
      <xdr:nvPicPr>
        <xdr:cNvPr id="3" name="Picture 15"/>
        <xdr:cNvPicPr>
          <a:picLocks noChangeAspect="1" noChangeArrowheads="1"/>
        </xdr:cNvPicPr>
      </xdr:nvPicPr>
      <xdr:blipFill>
        <a:blip xmlns:r="http://schemas.openxmlformats.org/officeDocument/2006/relationships" r:embed="rId2" cstate="print"/>
        <a:srcRect/>
        <a:stretch>
          <a:fillRect/>
        </a:stretch>
      </xdr:blipFill>
      <xdr:spPr bwMode="auto">
        <a:xfrm>
          <a:off x="6819900" y="523875"/>
          <a:ext cx="5257800" cy="13335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390525</xdr:colOff>
      <xdr:row>0</xdr:row>
      <xdr:rowOff>0</xdr:rowOff>
    </xdr:from>
    <xdr:to>
      <xdr:col>18</xdr:col>
      <xdr:colOff>1000125</xdr:colOff>
      <xdr:row>3</xdr:row>
      <xdr:rowOff>228600</xdr:rowOff>
    </xdr:to>
    <xdr:pic>
      <xdr:nvPicPr>
        <xdr:cNvPr id="2"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3277850" y="0"/>
          <a:ext cx="1333500" cy="1657350"/>
        </a:xfrm>
        <a:prstGeom prst="rect">
          <a:avLst/>
        </a:prstGeom>
        <a:noFill/>
        <a:ln w="9525">
          <a:noFill/>
          <a:miter lim="800000"/>
          <a:headEnd/>
          <a:tailEnd/>
        </a:ln>
      </xdr:spPr>
    </xdr:pic>
    <xdr:clientData/>
  </xdr:twoCellAnchor>
  <xdr:twoCellAnchor>
    <xdr:from>
      <xdr:col>17</xdr:col>
      <xdr:colOff>390525</xdr:colOff>
      <xdr:row>0</xdr:row>
      <xdr:rowOff>0</xdr:rowOff>
    </xdr:from>
    <xdr:to>
      <xdr:col>18</xdr:col>
      <xdr:colOff>1000125</xdr:colOff>
      <xdr:row>3</xdr:row>
      <xdr:rowOff>228600</xdr:rowOff>
    </xdr:to>
    <xdr:pic>
      <xdr:nvPicPr>
        <xdr:cNvPr id="3"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3277850" y="0"/>
          <a:ext cx="1333500" cy="1657350"/>
        </a:xfrm>
        <a:prstGeom prst="rect">
          <a:avLst/>
        </a:prstGeom>
        <a:noFill/>
        <a:ln w="9525">
          <a:noFill/>
          <a:miter lim="800000"/>
          <a:headEnd/>
          <a:tailEnd/>
        </a:ln>
      </xdr:spPr>
    </xdr:pic>
    <xdr:clientData/>
  </xdr:twoCellAnchor>
  <xdr:twoCellAnchor>
    <xdr:from>
      <xdr:col>17</xdr:col>
      <xdr:colOff>390525</xdr:colOff>
      <xdr:row>0</xdr:row>
      <xdr:rowOff>0</xdr:rowOff>
    </xdr:from>
    <xdr:to>
      <xdr:col>18</xdr:col>
      <xdr:colOff>1000125</xdr:colOff>
      <xdr:row>3</xdr:row>
      <xdr:rowOff>228600</xdr:rowOff>
    </xdr:to>
    <xdr:pic>
      <xdr:nvPicPr>
        <xdr:cNvPr id="4"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3277850" y="0"/>
          <a:ext cx="1333500" cy="1657350"/>
        </a:xfrm>
        <a:prstGeom prst="rect">
          <a:avLst/>
        </a:prstGeom>
        <a:noFill/>
        <a:ln w="9525">
          <a:noFill/>
          <a:miter lim="800000"/>
          <a:headEnd/>
          <a:tailEnd/>
        </a:ln>
      </xdr:spPr>
    </xdr:pic>
    <xdr:clientData/>
  </xdr:twoCellAnchor>
  <xdr:twoCellAnchor>
    <xdr:from>
      <xdr:col>17</xdr:col>
      <xdr:colOff>390525</xdr:colOff>
      <xdr:row>0</xdr:row>
      <xdr:rowOff>0</xdr:rowOff>
    </xdr:from>
    <xdr:to>
      <xdr:col>18</xdr:col>
      <xdr:colOff>1000125</xdr:colOff>
      <xdr:row>3</xdr:row>
      <xdr:rowOff>228600</xdr:rowOff>
    </xdr:to>
    <xdr:pic>
      <xdr:nvPicPr>
        <xdr:cNvPr id="5"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3277850" y="0"/>
          <a:ext cx="1333500" cy="1657350"/>
        </a:xfrm>
        <a:prstGeom prst="rect">
          <a:avLst/>
        </a:prstGeom>
        <a:noFill/>
        <a:ln w="9525">
          <a:noFill/>
          <a:miter lim="800000"/>
          <a:headEnd/>
          <a:tailEnd/>
        </a:ln>
      </xdr:spPr>
    </xdr:pic>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517071</xdr:colOff>
      <xdr:row>0</xdr:row>
      <xdr:rowOff>0</xdr:rowOff>
    </xdr:from>
    <xdr:to>
      <xdr:col>12</xdr:col>
      <xdr:colOff>1000125</xdr:colOff>
      <xdr:row>2</xdr:row>
      <xdr:rowOff>843642</xdr:rowOff>
    </xdr:to>
    <xdr:pic>
      <xdr:nvPicPr>
        <xdr:cNvPr id="2"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2654642" y="0"/>
          <a:ext cx="1489983" cy="1523999"/>
        </a:xfrm>
        <a:prstGeom prst="rect">
          <a:avLst/>
        </a:prstGeom>
        <a:noFill/>
        <a:ln w="9525">
          <a:noFill/>
          <a:miter lim="800000"/>
          <a:headEnd/>
          <a:tailEnd/>
        </a:ln>
      </xdr:spPr>
    </xdr:pic>
    <xdr:clientData/>
  </xdr:twoCellAnchor>
  <xdr:twoCellAnchor editAs="oneCell">
    <xdr:from>
      <xdr:col>9</xdr:col>
      <xdr:colOff>585108</xdr:colOff>
      <xdr:row>3</xdr:row>
      <xdr:rowOff>27215</xdr:rowOff>
    </xdr:from>
    <xdr:to>
      <xdr:col>12</xdr:col>
      <xdr:colOff>933453</xdr:colOff>
      <xdr:row>5</xdr:row>
      <xdr:rowOff>204108</xdr:rowOff>
    </xdr:to>
    <xdr:pic>
      <xdr:nvPicPr>
        <xdr:cNvPr id="3" name="Picture 15"/>
        <xdr:cNvPicPr>
          <a:picLocks noChangeAspect="1" noChangeArrowheads="1"/>
        </xdr:cNvPicPr>
      </xdr:nvPicPr>
      <xdr:blipFill>
        <a:blip xmlns:r="http://schemas.openxmlformats.org/officeDocument/2006/relationships" r:embed="rId2" cstate="print">
          <a:lum/>
        </a:blip>
        <a:srcRect t="15355" b="14349"/>
        <a:stretch>
          <a:fillRect/>
        </a:stretch>
      </xdr:blipFill>
      <xdr:spPr bwMode="auto">
        <a:xfrm>
          <a:off x="10708822" y="1673679"/>
          <a:ext cx="3369131" cy="639536"/>
        </a:xfrm>
        <a:prstGeom prst="rect">
          <a:avLst/>
        </a:prstGeom>
        <a:noFill/>
        <a:ln w="9525">
          <a:solidFill>
            <a:schemeClr val="bg1"/>
          </a:solid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8</xdr:col>
          <xdr:colOff>28575</xdr:colOff>
          <xdr:row>1</xdr:row>
          <xdr:rowOff>161925</xdr:rowOff>
        </xdr:from>
        <xdr:to>
          <xdr:col>10</xdr:col>
          <xdr:colOff>933450</xdr:colOff>
          <xdr:row>2</xdr:row>
          <xdr:rowOff>190500</xdr:rowOff>
        </xdr:to>
        <xdr:sp macro="" textlink="">
          <xdr:nvSpPr>
            <xdr:cNvPr id="109571" name="Drop Down 3" hidden="1">
              <a:extLst>
                <a:ext uri="{63B3BB69-23CF-44E3-9099-C40C66FF867C}">
                  <a14:compatExt spid="_x0000_s1095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xdr:row>
          <xdr:rowOff>438150</xdr:rowOff>
        </xdr:from>
        <xdr:to>
          <xdr:col>9</xdr:col>
          <xdr:colOff>209550</xdr:colOff>
          <xdr:row>2</xdr:row>
          <xdr:rowOff>800100</xdr:rowOff>
        </xdr:to>
        <xdr:sp macro="" textlink="">
          <xdr:nvSpPr>
            <xdr:cNvPr id="109572" name="Drop Down 4" hidden="1">
              <a:extLst>
                <a:ext uri="{63B3BB69-23CF-44E3-9099-C40C66FF867C}">
                  <a14:compatExt spid="_x0000_s1095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790575</xdr:colOff>
          <xdr:row>2</xdr:row>
          <xdr:rowOff>447675</xdr:rowOff>
        </xdr:from>
        <xdr:to>
          <xdr:col>10</xdr:col>
          <xdr:colOff>952500</xdr:colOff>
          <xdr:row>2</xdr:row>
          <xdr:rowOff>809625</xdr:rowOff>
        </xdr:to>
        <xdr:sp macro="" textlink="">
          <xdr:nvSpPr>
            <xdr:cNvPr id="109573" name="Drop Down 5" hidden="1">
              <a:extLst>
                <a:ext uri="{63B3BB69-23CF-44E3-9099-C40C66FF867C}">
                  <a14:compatExt spid="_x0000_s10957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17</xdr:col>
      <xdr:colOff>390525</xdr:colOff>
      <xdr:row>0</xdr:row>
      <xdr:rowOff>0</xdr:rowOff>
    </xdr:from>
    <xdr:to>
      <xdr:col>18</xdr:col>
      <xdr:colOff>1000125</xdr:colOff>
      <xdr:row>3</xdr:row>
      <xdr:rowOff>228600</xdr:rowOff>
    </xdr:to>
    <xdr:pic>
      <xdr:nvPicPr>
        <xdr:cNvPr id="32775"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3277850" y="0"/>
          <a:ext cx="1333500" cy="1657350"/>
        </a:xfrm>
        <a:prstGeom prst="rect">
          <a:avLst/>
        </a:prstGeom>
        <a:noFill/>
        <a:ln w="9525">
          <a:noFill/>
          <a:miter lim="800000"/>
          <a:headEnd/>
          <a:tailEnd/>
        </a:ln>
      </xdr:spPr>
    </xdr:pic>
    <xdr:clientData/>
  </xdr:twoCellAnchor>
  <xdr:twoCellAnchor>
    <xdr:from>
      <xdr:col>17</xdr:col>
      <xdr:colOff>390525</xdr:colOff>
      <xdr:row>0</xdr:row>
      <xdr:rowOff>0</xdr:rowOff>
    </xdr:from>
    <xdr:to>
      <xdr:col>18</xdr:col>
      <xdr:colOff>1000125</xdr:colOff>
      <xdr:row>3</xdr:row>
      <xdr:rowOff>228600</xdr:rowOff>
    </xdr:to>
    <xdr:pic>
      <xdr:nvPicPr>
        <xdr:cNvPr id="32776"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3277850" y="0"/>
          <a:ext cx="1333500" cy="1657350"/>
        </a:xfrm>
        <a:prstGeom prst="rect">
          <a:avLst/>
        </a:prstGeom>
        <a:noFill/>
        <a:ln w="9525">
          <a:noFill/>
          <a:miter lim="800000"/>
          <a:headEnd/>
          <a:tailEnd/>
        </a:ln>
      </xdr:spPr>
    </xdr:pic>
    <xdr:clientData/>
  </xdr:twoCellAnchor>
  <xdr:twoCellAnchor>
    <xdr:from>
      <xdr:col>17</xdr:col>
      <xdr:colOff>390525</xdr:colOff>
      <xdr:row>0</xdr:row>
      <xdr:rowOff>0</xdr:rowOff>
    </xdr:from>
    <xdr:to>
      <xdr:col>18</xdr:col>
      <xdr:colOff>1000125</xdr:colOff>
      <xdr:row>3</xdr:row>
      <xdr:rowOff>228600</xdr:rowOff>
    </xdr:to>
    <xdr:pic>
      <xdr:nvPicPr>
        <xdr:cNvPr id="32777"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3277850" y="0"/>
          <a:ext cx="1333500" cy="1657350"/>
        </a:xfrm>
        <a:prstGeom prst="rect">
          <a:avLst/>
        </a:prstGeom>
        <a:noFill/>
        <a:ln w="9525">
          <a:noFill/>
          <a:miter lim="800000"/>
          <a:headEnd/>
          <a:tailEnd/>
        </a:ln>
      </xdr:spPr>
    </xdr:pic>
    <xdr:clientData/>
  </xdr:twoCellAnchor>
  <xdr:twoCellAnchor>
    <xdr:from>
      <xdr:col>17</xdr:col>
      <xdr:colOff>390525</xdr:colOff>
      <xdr:row>0</xdr:row>
      <xdr:rowOff>0</xdr:rowOff>
    </xdr:from>
    <xdr:to>
      <xdr:col>18</xdr:col>
      <xdr:colOff>1000125</xdr:colOff>
      <xdr:row>3</xdr:row>
      <xdr:rowOff>228600</xdr:rowOff>
    </xdr:to>
    <xdr:pic>
      <xdr:nvPicPr>
        <xdr:cNvPr id="32778"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3277850" y="0"/>
          <a:ext cx="1333500" cy="16573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390525</xdr:colOff>
      <xdr:row>0</xdr:row>
      <xdr:rowOff>0</xdr:rowOff>
    </xdr:from>
    <xdr:to>
      <xdr:col>18</xdr:col>
      <xdr:colOff>1000125</xdr:colOff>
      <xdr:row>3</xdr:row>
      <xdr:rowOff>228600</xdr:rowOff>
    </xdr:to>
    <xdr:pic>
      <xdr:nvPicPr>
        <xdr:cNvPr id="2"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2753975" y="0"/>
          <a:ext cx="1409700" cy="1228725"/>
        </a:xfrm>
        <a:prstGeom prst="rect">
          <a:avLst/>
        </a:prstGeom>
        <a:noFill/>
        <a:ln w="9525">
          <a:noFill/>
          <a:miter lim="800000"/>
          <a:headEnd/>
          <a:tailEnd/>
        </a:ln>
      </xdr:spPr>
    </xdr:pic>
    <xdr:clientData/>
  </xdr:twoCellAnchor>
  <xdr:twoCellAnchor>
    <xdr:from>
      <xdr:col>17</xdr:col>
      <xdr:colOff>390525</xdr:colOff>
      <xdr:row>0</xdr:row>
      <xdr:rowOff>0</xdr:rowOff>
    </xdr:from>
    <xdr:to>
      <xdr:col>18</xdr:col>
      <xdr:colOff>1000125</xdr:colOff>
      <xdr:row>3</xdr:row>
      <xdr:rowOff>228600</xdr:rowOff>
    </xdr:to>
    <xdr:pic>
      <xdr:nvPicPr>
        <xdr:cNvPr id="3"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2753975" y="0"/>
          <a:ext cx="1409700" cy="1228725"/>
        </a:xfrm>
        <a:prstGeom prst="rect">
          <a:avLst/>
        </a:prstGeom>
        <a:noFill/>
        <a:ln w="9525">
          <a:noFill/>
          <a:miter lim="800000"/>
          <a:headEnd/>
          <a:tailEnd/>
        </a:ln>
      </xdr:spPr>
    </xdr:pic>
    <xdr:clientData/>
  </xdr:twoCellAnchor>
  <xdr:twoCellAnchor>
    <xdr:from>
      <xdr:col>17</xdr:col>
      <xdr:colOff>390525</xdr:colOff>
      <xdr:row>0</xdr:row>
      <xdr:rowOff>0</xdr:rowOff>
    </xdr:from>
    <xdr:to>
      <xdr:col>18</xdr:col>
      <xdr:colOff>1000125</xdr:colOff>
      <xdr:row>3</xdr:row>
      <xdr:rowOff>228600</xdr:rowOff>
    </xdr:to>
    <xdr:pic>
      <xdr:nvPicPr>
        <xdr:cNvPr id="4"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2753975" y="0"/>
          <a:ext cx="1409700" cy="1228725"/>
        </a:xfrm>
        <a:prstGeom prst="rect">
          <a:avLst/>
        </a:prstGeom>
        <a:noFill/>
        <a:ln w="9525">
          <a:noFill/>
          <a:miter lim="800000"/>
          <a:headEnd/>
          <a:tailEnd/>
        </a:ln>
      </xdr:spPr>
    </xdr:pic>
    <xdr:clientData/>
  </xdr:twoCellAnchor>
  <xdr:twoCellAnchor>
    <xdr:from>
      <xdr:col>17</xdr:col>
      <xdr:colOff>390525</xdr:colOff>
      <xdr:row>0</xdr:row>
      <xdr:rowOff>0</xdr:rowOff>
    </xdr:from>
    <xdr:to>
      <xdr:col>18</xdr:col>
      <xdr:colOff>1000125</xdr:colOff>
      <xdr:row>3</xdr:row>
      <xdr:rowOff>228600</xdr:rowOff>
    </xdr:to>
    <xdr:pic>
      <xdr:nvPicPr>
        <xdr:cNvPr id="5"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2753975" y="0"/>
          <a:ext cx="1409700" cy="12287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17</xdr:col>
      <xdr:colOff>390525</xdr:colOff>
      <xdr:row>0</xdr:row>
      <xdr:rowOff>0</xdr:rowOff>
    </xdr:from>
    <xdr:to>
      <xdr:col>18</xdr:col>
      <xdr:colOff>1000125</xdr:colOff>
      <xdr:row>3</xdr:row>
      <xdr:rowOff>228600</xdr:rowOff>
    </xdr:to>
    <xdr:pic>
      <xdr:nvPicPr>
        <xdr:cNvPr id="2"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3658850" y="0"/>
          <a:ext cx="1514475" cy="1657350"/>
        </a:xfrm>
        <a:prstGeom prst="rect">
          <a:avLst/>
        </a:prstGeom>
        <a:noFill/>
        <a:ln w="9525">
          <a:noFill/>
          <a:miter lim="800000"/>
          <a:headEnd/>
          <a:tailEnd/>
        </a:ln>
      </xdr:spPr>
    </xdr:pic>
    <xdr:clientData/>
  </xdr:twoCellAnchor>
  <xdr:twoCellAnchor>
    <xdr:from>
      <xdr:col>17</xdr:col>
      <xdr:colOff>390525</xdr:colOff>
      <xdr:row>0</xdr:row>
      <xdr:rowOff>0</xdr:rowOff>
    </xdr:from>
    <xdr:to>
      <xdr:col>18</xdr:col>
      <xdr:colOff>1000125</xdr:colOff>
      <xdr:row>3</xdr:row>
      <xdr:rowOff>228600</xdr:rowOff>
    </xdr:to>
    <xdr:pic>
      <xdr:nvPicPr>
        <xdr:cNvPr id="3"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3658850" y="0"/>
          <a:ext cx="1514475" cy="1657350"/>
        </a:xfrm>
        <a:prstGeom prst="rect">
          <a:avLst/>
        </a:prstGeom>
        <a:noFill/>
        <a:ln w="9525">
          <a:noFill/>
          <a:miter lim="800000"/>
          <a:headEnd/>
          <a:tailEnd/>
        </a:ln>
      </xdr:spPr>
    </xdr:pic>
    <xdr:clientData/>
  </xdr:twoCellAnchor>
  <xdr:twoCellAnchor>
    <xdr:from>
      <xdr:col>17</xdr:col>
      <xdr:colOff>390525</xdr:colOff>
      <xdr:row>0</xdr:row>
      <xdr:rowOff>0</xdr:rowOff>
    </xdr:from>
    <xdr:to>
      <xdr:col>18</xdr:col>
      <xdr:colOff>1000125</xdr:colOff>
      <xdr:row>3</xdr:row>
      <xdr:rowOff>228600</xdr:rowOff>
    </xdr:to>
    <xdr:pic>
      <xdr:nvPicPr>
        <xdr:cNvPr id="4"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3658850" y="0"/>
          <a:ext cx="1514475" cy="1657350"/>
        </a:xfrm>
        <a:prstGeom prst="rect">
          <a:avLst/>
        </a:prstGeom>
        <a:noFill/>
        <a:ln w="9525">
          <a:noFill/>
          <a:miter lim="800000"/>
          <a:headEnd/>
          <a:tailEnd/>
        </a:ln>
      </xdr:spPr>
    </xdr:pic>
    <xdr:clientData/>
  </xdr:twoCellAnchor>
  <xdr:twoCellAnchor>
    <xdr:from>
      <xdr:col>17</xdr:col>
      <xdr:colOff>390525</xdr:colOff>
      <xdr:row>0</xdr:row>
      <xdr:rowOff>0</xdr:rowOff>
    </xdr:from>
    <xdr:to>
      <xdr:col>18</xdr:col>
      <xdr:colOff>1000125</xdr:colOff>
      <xdr:row>3</xdr:row>
      <xdr:rowOff>228600</xdr:rowOff>
    </xdr:to>
    <xdr:pic>
      <xdr:nvPicPr>
        <xdr:cNvPr id="5"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3658850" y="0"/>
          <a:ext cx="1514475" cy="16573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17</xdr:col>
      <xdr:colOff>390525</xdr:colOff>
      <xdr:row>0</xdr:row>
      <xdr:rowOff>0</xdr:rowOff>
    </xdr:from>
    <xdr:to>
      <xdr:col>18</xdr:col>
      <xdr:colOff>1000125</xdr:colOff>
      <xdr:row>3</xdr:row>
      <xdr:rowOff>228600</xdr:rowOff>
    </xdr:to>
    <xdr:pic>
      <xdr:nvPicPr>
        <xdr:cNvPr id="2"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3658850" y="0"/>
          <a:ext cx="1514475" cy="1657350"/>
        </a:xfrm>
        <a:prstGeom prst="rect">
          <a:avLst/>
        </a:prstGeom>
        <a:noFill/>
        <a:ln w="9525">
          <a:noFill/>
          <a:miter lim="800000"/>
          <a:headEnd/>
          <a:tailEnd/>
        </a:ln>
      </xdr:spPr>
    </xdr:pic>
    <xdr:clientData/>
  </xdr:twoCellAnchor>
  <xdr:twoCellAnchor>
    <xdr:from>
      <xdr:col>17</xdr:col>
      <xdr:colOff>390525</xdr:colOff>
      <xdr:row>0</xdr:row>
      <xdr:rowOff>0</xdr:rowOff>
    </xdr:from>
    <xdr:to>
      <xdr:col>18</xdr:col>
      <xdr:colOff>1000125</xdr:colOff>
      <xdr:row>3</xdr:row>
      <xdr:rowOff>228600</xdr:rowOff>
    </xdr:to>
    <xdr:pic>
      <xdr:nvPicPr>
        <xdr:cNvPr id="3"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3658850" y="0"/>
          <a:ext cx="1514475" cy="1657350"/>
        </a:xfrm>
        <a:prstGeom prst="rect">
          <a:avLst/>
        </a:prstGeom>
        <a:noFill/>
        <a:ln w="9525">
          <a:noFill/>
          <a:miter lim="800000"/>
          <a:headEnd/>
          <a:tailEnd/>
        </a:ln>
      </xdr:spPr>
    </xdr:pic>
    <xdr:clientData/>
  </xdr:twoCellAnchor>
  <xdr:twoCellAnchor>
    <xdr:from>
      <xdr:col>17</xdr:col>
      <xdr:colOff>390525</xdr:colOff>
      <xdr:row>0</xdr:row>
      <xdr:rowOff>0</xdr:rowOff>
    </xdr:from>
    <xdr:to>
      <xdr:col>18</xdr:col>
      <xdr:colOff>1000125</xdr:colOff>
      <xdr:row>3</xdr:row>
      <xdr:rowOff>228600</xdr:rowOff>
    </xdr:to>
    <xdr:pic>
      <xdr:nvPicPr>
        <xdr:cNvPr id="4"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3658850" y="0"/>
          <a:ext cx="1514475" cy="1657350"/>
        </a:xfrm>
        <a:prstGeom prst="rect">
          <a:avLst/>
        </a:prstGeom>
        <a:noFill/>
        <a:ln w="9525">
          <a:noFill/>
          <a:miter lim="800000"/>
          <a:headEnd/>
          <a:tailEnd/>
        </a:ln>
      </xdr:spPr>
    </xdr:pic>
    <xdr:clientData/>
  </xdr:twoCellAnchor>
  <xdr:twoCellAnchor>
    <xdr:from>
      <xdr:col>17</xdr:col>
      <xdr:colOff>390525</xdr:colOff>
      <xdr:row>0</xdr:row>
      <xdr:rowOff>0</xdr:rowOff>
    </xdr:from>
    <xdr:to>
      <xdr:col>18</xdr:col>
      <xdr:colOff>1000125</xdr:colOff>
      <xdr:row>3</xdr:row>
      <xdr:rowOff>228600</xdr:rowOff>
    </xdr:to>
    <xdr:pic>
      <xdr:nvPicPr>
        <xdr:cNvPr id="5"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3658850" y="0"/>
          <a:ext cx="1514475" cy="16573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17</xdr:col>
      <xdr:colOff>390525</xdr:colOff>
      <xdr:row>0</xdr:row>
      <xdr:rowOff>0</xdr:rowOff>
    </xdr:from>
    <xdr:to>
      <xdr:col>18</xdr:col>
      <xdr:colOff>1000125</xdr:colOff>
      <xdr:row>3</xdr:row>
      <xdr:rowOff>228600</xdr:rowOff>
    </xdr:to>
    <xdr:pic>
      <xdr:nvPicPr>
        <xdr:cNvPr id="33799"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3658850" y="0"/>
          <a:ext cx="1514475" cy="1657350"/>
        </a:xfrm>
        <a:prstGeom prst="rect">
          <a:avLst/>
        </a:prstGeom>
        <a:noFill/>
        <a:ln w="9525">
          <a:noFill/>
          <a:miter lim="800000"/>
          <a:headEnd/>
          <a:tailEnd/>
        </a:ln>
      </xdr:spPr>
    </xdr:pic>
    <xdr:clientData/>
  </xdr:twoCellAnchor>
  <xdr:twoCellAnchor>
    <xdr:from>
      <xdr:col>17</xdr:col>
      <xdr:colOff>390525</xdr:colOff>
      <xdr:row>0</xdr:row>
      <xdr:rowOff>0</xdr:rowOff>
    </xdr:from>
    <xdr:to>
      <xdr:col>18</xdr:col>
      <xdr:colOff>1000125</xdr:colOff>
      <xdr:row>3</xdr:row>
      <xdr:rowOff>228600</xdr:rowOff>
    </xdr:to>
    <xdr:pic>
      <xdr:nvPicPr>
        <xdr:cNvPr id="33800"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3658850" y="0"/>
          <a:ext cx="1514475" cy="1657350"/>
        </a:xfrm>
        <a:prstGeom prst="rect">
          <a:avLst/>
        </a:prstGeom>
        <a:noFill/>
        <a:ln w="9525">
          <a:noFill/>
          <a:miter lim="800000"/>
          <a:headEnd/>
          <a:tailEnd/>
        </a:ln>
      </xdr:spPr>
    </xdr:pic>
    <xdr:clientData/>
  </xdr:twoCellAnchor>
  <xdr:twoCellAnchor>
    <xdr:from>
      <xdr:col>17</xdr:col>
      <xdr:colOff>390525</xdr:colOff>
      <xdr:row>0</xdr:row>
      <xdr:rowOff>0</xdr:rowOff>
    </xdr:from>
    <xdr:to>
      <xdr:col>18</xdr:col>
      <xdr:colOff>1000125</xdr:colOff>
      <xdr:row>3</xdr:row>
      <xdr:rowOff>228600</xdr:rowOff>
    </xdr:to>
    <xdr:pic>
      <xdr:nvPicPr>
        <xdr:cNvPr id="33801"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3658850" y="0"/>
          <a:ext cx="1514475" cy="1657350"/>
        </a:xfrm>
        <a:prstGeom prst="rect">
          <a:avLst/>
        </a:prstGeom>
        <a:noFill/>
        <a:ln w="9525">
          <a:noFill/>
          <a:miter lim="800000"/>
          <a:headEnd/>
          <a:tailEnd/>
        </a:ln>
      </xdr:spPr>
    </xdr:pic>
    <xdr:clientData/>
  </xdr:twoCellAnchor>
  <xdr:twoCellAnchor>
    <xdr:from>
      <xdr:col>17</xdr:col>
      <xdr:colOff>390525</xdr:colOff>
      <xdr:row>0</xdr:row>
      <xdr:rowOff>0</xdr:rowOff>
    </xdr:from>
    <xdr:to>
      <xdr:col>18</xdr:col>
      <xdr:colOff>1000125</xdr:colOff>
      <xdr:row>3</xdr:row>
      <xdr:rowOff>228600</xdr:rowOff>
    </xdr:to>
    <xdr:pic>
      <xdr:nvPicPr>
        <xdr:cNvPr id="33802"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3658850" y="0"/>
          <a:ext cx="1514475" cy="165735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17</xdr:col>
      <xdr:colOff>390525</xdr:colOff>
      <xdr:row>0</xdr:row>
      <xdr:rowOff>0</xdr:rowOff>
    </xdr:from>
    <xdr:to>
      <xdr:col>18</xdr:col>
      <xdr:colOff>1000125</xdr:colOff>
      <xdr:row>3</xdr:row>
      <xdr:rowOff>228600</xdr:rowOff>
    </xdr:to>
    <xdr:pic>
      <xdr:nvPicPr>
        <xdr:cNvPr id="35847"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3592175" y="0"/>
          <a:ext cx="1619250" cy="1657350"/>
        </a:xfrm>
        <a:prstGeom prst="rect">
          <a:avLst/>
        </a:prstGeom>
        <a:noFill/>
        <a:ln w="9525">
          <a:noFill/>
          <a:miter lim="800000"/>
          <a:headEnd/>
          <a:tailEnd/>
        </a:ln>
      </xdr:spPr>
    </xdr:pic>
    <xdr:clientData/>
  </xdr:twoCellAnchor>
  <xdr:twoCellAnchor>
    <xdr:from>
      <xdr:col>17</xdr:col>
      <xdr:colOff>390525</xdr:colOff>
      <xdr:row>0</xdr:row>
      <xdr:rowOff>0</xdr:rowOff>
    </xdr:from>
    <xdr:to>
      <xdr:col>18</xdr:col>
      <xdr:colOff>1000125</xdr:colOff>
      <xdr:row>3</xdr:row>
      <xdr:rowOff>228600</xdr:rowOff>
    </xdr:to>
    <xdr:pic>
      <xdr:nvPicPr>
        <xdr:cNvPr id="35848"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3592175" y="0"/>
          <a:ext cx="1619250" cy="1657350"/>
        </a:xfrm>
        <a:prstGeom prst="rect">
          <a:avLst/>
        </a:prstGeom>
        <a:noFill/>
        <a:ln w="9525">
          <a:noFill/>
          <a:miter lim="800000"/>
          <a:headEnd/>
          <a:tailEnd/>
        </a:ln>
      </xdr:spPr>
    </xdr:pic>
    <xdr:clientData/>
  </xdr:twoCellAnchor>
  <xdr:twoCellAnchor>
    <xdr:from>
      <xdr:col>17</xdr:col>
      <xdr:colOff>390525</xdr:colOff>
      <xdr:row>0</xdr:row>
      <xdr:rowOff>0</xdr:rowOff>
    </xdr:from>
    <xdr:to>
      <xdr:col>18</xdr:col>
      <xdr:colOff>1000125</xdr:colOff>
      <xdr:row>3</xdr:row>
      <xdr:rowOff>228600</xdr:rowOff>
    </xdr:to>
    <xdr:pic>
      <xdr:nvPicPr>
        <xdr:cNvPr id="35849"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3592175" y="0"/>
          <a:ext cx="1619250" cy="1657350"/>
        </a:xfrm>
        <a:prstGeom prst="rect">
          <a:avLst/>
        </a:prstGeom>
        <a:noFill/>
        <a:ln w="9525">
          <a:noFill/>
          <a:miter lim="800000"/>
          <a:headEnd/>
          <a:tailEnd/>
        </a:ln>
      </xdr:spPr>
    </xdr:pic>
    <xdr:clientData/>
  </xdr:twoCellAnchor>
  <xdr:twoCellAnchor>
    <xdr:from>
      <xdr:col>17</xdr:col>
      <xdr:colOff>390525</xdr:colOff>
      <xdr:row>0</xdr:row>
      <xdr:rowOff>0</xdr:rowOff>
    </xdr:from>
    <xdr:to>
      <xdr:col>18</xdr:col>
      <xdr:colOff>1000125</xdr:colOff>
      <xdr:row>3</xdr:row>
      <xdr:rowOff>228600</xdr:rowOff>
    </xdr:to>
    <xdr:pic>
      <xdr:nvPicPr>
        <xdr:cNvPr id="35850" name="Picture 159"/>
        <xdr:cNvPicPr>
          <a:picLocks noChangeAspect="1" noChangeArrowheads="1"/>
        </xdr:cNvPicPr>
      </xdr:nvPicPr>
      <xdr:blipFill>
        <a:blip xmlns:r="http://schemas.openxmlformats.org/officeDocument/2006/relationships" r:embed="rId1" cstate="print"/>
        <a:srcRect/>
        <a:stretch>
          <a:fillRect/>
        </a:stretch>
      </xdr:blipFill>
      <xdr:spPr bwMode="auto">
        <a:xfrm>
          <a:off x="13592175" y="0"/>
          <a:ext cx="1619250" cy="1657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teplo@tn.ru" TargetMode="External"/><Relationship Id="rId1" Type="http://schemas.openxmlformats.org/officeDocument/2006/relationships/hyperlink" Target="http://www.teplo.tn.ru/" TargetMode="External"/><Relationship Id="rId6" Type="http://schemas.openxmlformats.org/officeDocument/2006/relationships/comments" Target="../comments9.xml"/><Relationship Id="rId5" Type="http://schemas.openxmlformats.org/officeDocument/2006/relationships/vmlDrawing" Target="../drawings/vmlDrawing9.vml"/><Relationship Id="rId4"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teplo@tn.ru" TargetMode="External"/><Relationship Id="rId1" Type="http://schemas.openxmlformats.org/officeDocument/2006/relationships/hyperlink" Target="http://www.teplo.tn.ru/" TargetMode="External"/><Relationship Id="rId6" Type="http://schemas.openxmlformats.org/officeDocument/2006/relationships/comments" Target="../comments10.xml"/><Relationship Id="rId5" Type="http://schemas.openxmlformats.org/officeDocument/2006/relationships/vmlDrawing" Target="../drawings/vmlDrawing10.vml"/><Relationship Id="rId4"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teplo.tn.ru/"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mailto:teplo@tn.ru" TargetMode="External"/><Relationship Id="rId1" Type="http://schemas.openxmlformats.org/officeDocument/2006/relationships/hyperlink" Target="http://www.teplo.tn.ru/" TargetMode="External"/><Relationship Id="rId6" Type="http://schemas.openxmlformats.org/officeDocument/2006/relationships/comments" Target="../comments11.xml"/><Relationship Id="rId5" Type="http://schemas.openxmlformats.org/officeDocument/2006/relationships/vmlDrawing" Target="../drawings/vmlDrawing11.vml"/><Relationship Id="rId4"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mailto:teplo@tn.ru" TargetMode="External"/><Relationship Id="rId1" Type="http://schemas.openxmlformats.org/officeDocument/2006/relationships/hyperlink" Target="http://www.teplo.tn.ru/" TargetMode="External"/><Relationship Id="rId6" Type="http://schemas.openxmlformats.org/officeDocument/2006/relationships/comments" Target="../comments12.xml"/><Relationship Id="rId5" Type="http://schemas.openxmlformats.org/officeDocument/2006/relationships/vmlDrawing" Target="../drawings/vmlDrawing12.vml"/><Relationship Id="rId4"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mailto:teplo@tn.ru" TargetMode="External"/><Relationship Id="rId1" Type="http://schemas.openxmlformats.org/officeDocument/2006/relationships/hyperlink" Target="http://www.teplo.tn.ru/" TargetMode="External"/><Relationship Id="rId6" Type="http://schemas.openxmlformats.org/officeDocument/2006/relationships/comments" Target="../comments13.xml"/><Relationship Id="rId5" Type="http://schemas.openxmlformats.org/officeDocument/2006/relationships/vmlDrawing" Target="../drawings/vmlDrawing13.vml"/><Relationship Id="rId4"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mailto:teplo@tn.ru" TargetMode="External"/><Relationship Id="rId1" Type="http://schemas.openxmlformats.org/officeDocument/2006/relationships/hyperlink" Target="http://www.teplo.tn.ru/" TargetMode="External"/><Relationship Id="rId6" Type="http://schemas.openxmlformats.org/officeDocument/2006/relationships/comments" Target="../comments14.xml"/><Relationship Id="rId5" Type="http://schemas.openxmlformats.org/officeDocument/2006/relationships/vmlDrawing" Target="../drawings/vmlDrawing14.vml"/><Relationship Id="rId4" Type="http://schemas.openxmlformats.org/officeDocument/2006/relationships/drawing" Target="../drawings/drawing14.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teplo@tn.ru" TargetMode="External"/><Relationship Id="rId1" Type="http://schemas.openxmlformats.org/officeDocument/2006/relationships/hyperlink" Target="http://www.teplo.tn.ru/"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mailto:teplo@tn.ru" TargetMode="External"/><Relationship Id="rId1" Type="http://schemas.openxmlformats.org/officeDocument/2006/relationships/hyperlink" Target="http://www.teplo.tn.ru/" TargetMode="External"/><Relationship Id="rId4" Type="http://schemas.openxmlformats.org/officeDocument/2006/relationships/drawing" Target="../drawings/drawing15.xm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mailto:teplo@tn.ru" TargetMode="External"/><Relationship Id="rId1" Type="http://schemas.openxmlformats.org/officeDocument/2006/relationships/hyperlink" Target="http://www.teplo.tn.ru/" TargetMode="External"/><Relationship Id="rId6" Type="http://schemas.openxmlformats.org/officeDocument/2006/relationships/comments" Target="../comments15.xml"/><Relationship Id="rId5" Type="http://schemas.openxmlformats.org/officeDocument/2006/relationships/vmlDrawing" Target="../drawings/vmlDrawing15.vml"/><Relationship Id="rId4" Type="http://schemas.openxmlformats.org/officeDocument/2006/relationships/drawing" Target="../drawings/drawing16.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7" Type="http://schemas.openxmlformats.org/officeDocument/2006/relationships/comments" Target="../comments16.xml"/><Relationship Id="rId2" Type="http://schemas.openxmlformats.org/officeDocument/2006/relationships/drawing" Target="../drawings/drawing17.xml"/><Relationship Id="rId1" Type="http://schemas.openxmlformats.org/officeDocument/2006/relationships/printerSettings" Target="../printerSettings/printerSettings2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7" Type="http://schemas.openxmlformats.org/officeDocument/2006/relationships/comments" Target="../comments17.xml"/><Relationship Id="rId2" Type="http://schemas.openxmlformats.org/officeDocument/2006/relationships/drawing" Target="../drawings/drawing18.xml"/><Relationship Id="rId1" Type="http://schemas.openxmlformats.org/officeDocument/2006/relationships/printerSettings" Target="../printerSettings/printerSettings24.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8.vml"/><Relationship Id="rId7" Type="http://schemas.openxmlformats.org/officeDocument/2006/relationships/comments" Target="../comments18.xml"/><Relationship Id="rId2" Type="http://schemas.openxmlformats.org/officeDocument/2006/relationships/drawing" Target="../drawings/drawing19.xml"/><Relationship Id="rId1" Type="http://schemas.openxmlformats.org/officeDocument/2006/relationships/printerSettings" Target="../printerSettings/printerSettings25.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9.vml"/><Relationship Id="rId7" Type="http://schemas.openxmlformats.org/officeDocument/2006/relationships/comments" Target="../comments19.xml"/><Relationship Id="rId2" Type="http://schemas.openxmlformats.org/officeDocument/2006/relationships/drawing" Target="../drawings/drawing20.xml"/><Relationship Id="rId1" Type="http://schemas.openxmlformats.org/officeDocument/2006/relationships/printerSettings" Target="../printerSettings/printerSettings26.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27.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printerSettings" Target="../printerSettings/printerSettings27.bin"/><Relationship Id="rId7" Type="http://schemas.openxmlformats.org/officeDocument/2006/relationships/ctrlProp" Target="../ctrlProps/ctrlProp14.xml"/><Relationship Id="rId2" Type="http://schemas.openxmlformats.org/officeDocument/2006/relationships/hyperlink" Target="mailto:teplo@tn.ru" TargetMode="External"/><Relationship Id="rId1" Type="http://schemas.openxmlformats.org/officeDocument/2006/relationships/hyperlink" Target="http://www.teplo.tn.ru/" TargetMode="External"/><Relationship Id="rId6" Type="http://schemas.openxmlformats.org/officeDocument/2006/relationships/ctrlProp" Target="../ctrlProps/ctrlProp13.xml"/><Relationship Id="rId5" Type="http://schemas.openxmlformats.org/officeDocument/2006/relationships/vmlDrawing" Target="../drawings/vmlDrawing20.vml"/><Relationship Id="rId4" Type="http://schemas.openxmlformats.org/officeDocument/2006/relationships/drawing" Target="../drawings/drawing21.xml"/><Relationship Id="rId9" Type="http://schemas.openxmlformats.org/officeDocument/2006/relationships/comments" Target="../comments20.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1.vml"/><Relationship Id="rId7" Type="http://schemas.openxmlformats.org/officeDocument/2006/relationships/comments" Target="../comments21.xml"/><Relationship Id="rId2" Type="http://schemas.openxmlformats.org/officeDocument/2006/relationships/drawing" Target="../drawings/drawing22.xml"/><Relationship Id="rId1" Type="http://schemas.openxmlformats.org/officeDocument/2006/relationships/printerSettings" Target="../printerSettings/printerSettings28.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3.xml"/><Relationship Id="rId7" Type="http://schemas.openxmlformats.org/officeDocument/2006/relationships/ctrlProp" Target="../ctrlProps/ctrlProp21.xml"/><Relationship Id="rId2" Type="http://schemas.openxmlformats.org/officeDocument/2006/relationships/printerSettings" Target="../printerSettings/printerSettings29.bin"/><Relationship Id="rId1" Type="http://schemas.openxmlformats.org/officeDocument/2006/relationships/hyperlink" Target="http://www.teplo.tn.ru/" TargetMode="External"/><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vmlDrawing" Target="../drawings/vmlDrawing22.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teplo@tn.ru" TargetMode="External"/><Relationship Id="rId1" Type="http://schemas.openxmlformats.org/officeDocument/2006/relationships/hyperlink" Target="http://www.teplo.tn.ru/"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23.vml"/><Relationship Id="rId7" Type="http://schemas.openxmlformats.org/officeDocument/2006/relationships/comments" Target="../comments22.xml"/><Relationship Id="rId2" Type="http://schemas.openxmlformats.org/officeDocument/2006/relationships/drawing" Target="../drawings/drawing24.xml"/><Relationship Id="rId1" Type="http://schemas.openxmlformats.org/officeDocument/2006/relationships/printerSettings" Target="../printerSettings/printerSettings30.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24.vml"/><Relationship Id="rId7" Type="http://schemas.openxmlformats.org/officeDocument/2006/relationships/comments" Target="../comments23.xml"/><Relationship Id="rId2" Type="http://schemas.openxmlformats.org/officeDocument/2006/relationships/drawing" Target="../drawings/drawing25.xml"/><Relationship Id="rId1" Type="http://schemas.openxmlformats.org/officeDocument/2006/relationships/printerSettings" Target="../printerSettings/printerSettings31.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hyperlink" Target="mailto:teplo@tn.ru" TargetMode="External"/><Relationship Id="rId1" Type="http://schemas.openxmlformats.org/officeDocument/2006/relationships/hyperlink" Target="http://www.teplo.tn.ru/" TargetMode="External"/><Relationship Id="rId6" Type="http://schemas.openxmlformats.org/officeDocument/2006/relationships/comments" Target="../comments24.xml"/><Relationship Id="rId5" Type="http://schemas.openxmlformats.org/officeDocument/2006/relationships/vmlDrawing" Target="../drawings/vmlDrawing25.vml"/><Relationship Id="rId4" Type="http://schemas.openxmlformats.org/officeDocument/2006/relationships/drawing" Target="../drawings/drawing26.xm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34.bin"/><Relationship Id="rId1" Type="http://schemas.openxmlformats.org/officeDocument/2006/relationships/hyperlink" Target="http://www.teplo.tn.ru/" TargetMode="External"/><Relationship Id="rId5" Type="http://schemas.openxmlformats.org/officeDocument/2006/relationships/comments" Target="../comments25.xml"/><Relationship Id="rId4" Type="http://schemas.openxmlformats.org/officeDocument/2006/relationships/vmlDrawing" Target="../drawings/vmlDrawing26.vml"/></Relationships>
</file>

<file path=xl/worksheets/_rels/sheet35.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35.bin"/><Relationship Id="rId1" Type="http://schemas.openxmlformats.org/officeDocument/2006/relationships/hyperlink" Target="http://www.teplo.tn.ru/" TargetMode="External"/><Relationship Id="rId5" Type="http://schemas.openxmlformats.org/officeDocument/2006/relationships/comments" Target="../comments26.xml"/><Relationship Id="rId4" Type="http://schemas.openxmlformats.org/officeDocument/2006/relationships/vmlDrawing" Target="../drawings/vmlDrawing27.vml"/></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36.bin"/><Relationship Id="rId1" Type="http://schemas.openxmlformats.org/officeDocument/2006/relationships/hyperlink" Target="http://www.teplo.tn.ru/" TargetMode="External"/><Relationship Id="rId5" Type="http://schemas.openxmlformats.org/officeDocument/2006/relationships/comments" Target="../comments27.xml"/><Relationship Id="rId4" Type="http://schemas.openxmlformats.org/officeDocument/2006/relationships/vmlDrawing" Target="../drawings/vmlDrawing28.vml"/></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29.vml"/><Relationship Id="rId7" Type="http://schemas.openxmlformats.org/officeDocument/2006/relationships/comments" Target="../comments28.xml"/><Relationship Id="rId2" Type="http://schemas.openxmlformats.org/officeDocument/2006/relationships/drawing" Target="../drawings/drawing30.xml"/><Relationship Id="rId1" Type="http://schemas.openxmlformats.org/officeDocument/2006/relationships/printerSettings" Target="../printerSettings/printerSettings37.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teplo@tn.ru" TargetMode="External"/><Relationship Id="rId1" Type="http://schemas.openxmlformats.org/officeDocument/2006/relationships/hyperlink" Target="http://www.teplo.tn.ru/"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teplo@tn.ru" TargetMode="External"/><Relationship Id="rId1" Type="http://schemas.openxmlformats.org/officeDocument/2006/relationships/hyperlink" Target="http://www.teplo.tn.ru/"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teplo@tn.ru" TargetMode="External"/><Relationship Id="rId1" Type="http://schemas.openxmlformats.org/officeDocument/2006/relationships/hyperlink" Target="http://www.teplo.tn.ru/"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teplo@tn.ru" TargetMode="External"/><Relationship Id="rId1" Type="http://schemas.openxmlformats.org/officeDocument/2006/relationships/hyperlink" Target="http://www.teplo.tn.ru/" TargetMode="External"/><Relationship Id="rId6" Type="http://schemas.openxmlformats.org/officeDocument/2006/relationships/comments" Target="../comments6.xml"/><Relationship Id="rId5" Type="http://schemas.openxmlformats.org/officeDocument/2006/relationships/vmlDrawing" Target="../drawings/vmlDrawing6.vml"/><Relationship Id="rId4"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teplo@tn.ru" TargetMode="External"/><Relationship Id="rId1" Type="http://schemas.openxmlformats.org/officeDocument/2006/relationships/hyperlink" Target="http://www.teplo.tn.ru/" TargetMode="External"/><Relationship Id="rId6" Type="http://schemas.openxmlformats.org/officeDocument/2006/relationships/comments" Target="../comments7.xml"/><Relationship Id="rId5" Type="http://schemas.openxmlformats.org/officeDocument/2006/relationships/vmlDrawing" Target="../drawings/vmlDrawing7.vml"/><Relationship Id="rId4"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mailto:teplo@tn.ru" TargetMode="External"/><Relationship Id="rId1" Type="http://schemas.openxmlformats.org/officeDocument/2006/relationships/hyperlink" Target="http://www.teplo.tn.ru/" TargetMode="External"/><Relationship Id="rId6" Type="http://schemas.openxmlformats.org/officeDocument/2006/relationships/comments" Target="../comments8.xml"/><Relationship Id="rId5" Type="http://schemas.openxmlformats.org/officeDocument/2006/relationships/vmlDrawing" Target="../drawings/vmlDrawing8.vml"/><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B1:N618"/>
  <sheetViews>
    <sheetView zoomScaleNormal="100" workbookViewId="0">
      <pane ySplit="1" topLeftCell="A602" activePane="bottomLeft" state="frozen"/>
      <selection pane="bottomLeft" activeCell="A624" sqref="A624:XFD1240"/>
    </sheetView>
  </sheetViews>
  <sheetFormatPr defaultRowHeight="12.75" x14ac:dyDescent="0.2"/>
  <cols>
    <col min="1" max="1" width="9.140625" style="544"/>
    <col min="2" max="2" width="27.28515625" style="544" customWidth="1"/>
    <col min="3" max="3" width="5.42578125" style="544" customWidth="1"/>
    <col min="4" max="4" width="22.85546875" style="544" customWidth="1"/>
    <col min="5" max="5" width="104.28515625" style="544" customWidth="1"/>
    <col min="6" max="16384" width="9.140625" style="544"/>
  </cols>
  <sheetData>
    <row r="1" spans="2:14" x14ac:dyDescent="0.2">
      <c r="B1" s="543" t="s">
        <v>385</v>
      </c>
      <c r="C1" s="543" t="s">
        <v>386</v>
      </c>
      <c r="D1" s="543" t="s">
        <v>387</v>
      </c>
      <c r="E1" s="543" t="s">
        <v>388</v>
      </c>
    </row>
    <row r="2" spans="2:14" x14ac:dyDescent="0.2">
      <c r="B2" s="777" t="s">
        <v>512</v>
      </c>
      <c r="C2" s="543"/>
      <c r="D2" s="543"/>
      <c r="E2" s="543"/>
    </row>
    <row r="3" spans="2:14" x14ac:dyDescent="0.2">
      <c r="B3" s="545" t="s">
        <v>425</v>
      </c>
      <c r="C3" s="1238">
        <v>8</v>
      </c>
      <c r="D3" s="778" t="s">
        <v>529</v>
      </c>
      <c r="E3" s="778" t="s">
        <v>738</v>
      </c>
    </row>
    <row r="4" spans="2:14" x14ac:dyDescent="0.2">
      <c r="B4" s="778" t="s">
        <v>749</v>
      </c>
      <c r="C4" s="1238">
        <v>9</v>
      </c>
      <c r="D4" s="778" t="s">
        <v>529</v>
      </c>
      <c r="E4" s="778" t="s">
        <v>738</v>
      </c>
    </row>
    <row r="5" spans="2:14" x14ac:dyDescent="0.2">
      <c r="B5" s="545" t="s">
        <v>713</v>
      </c>
      <c r="C5" s="1238">
        <v>8</v>
      </c>
      <c r="D5" s="778" t="s">
        <v>529</v>
      </c>
      <c r="E5" s="778" t="s">
        <v>738</v>
      </c>
    </row>
    <row r="6" spans="2:14" x14ac:dyDescent="0.2">
      <c r="B6" s="778" t="s">
        <v>518</v>
      </c>
      <c r="C6" s="661">
        <v>0</v>
      </c>
      <c r="D6" s="779" t="s">
        <v>530</v>
      </c>
      <c r="E6" s="778" t="s">
        <v>738</v>
      </c>
      <c r="L6" s="546">
        <v>0</v>
      </c>
      <c r="M6" s="545" t="s">
        <v>389</v>
      </c>
      <c r="N6" s="545" t="s">
        <v>393</v>
      </c>
    </row>
    <row r="7" spans="2:14" x14ac:dyDescent="0.2">
      <c r="B7" s="545" t="s">
        <v>583</v>
      </c>
      <c r="C7" s="1238">
        <v>15</v>
      </c>
      <c r="D7" s="778" t="s">
        <v>529</v>
      </c>
      <c r="E7" s="778" t="s">
        <v>738</v>
      </c>
    </row>
    <row r="8" spans="2:14" x14ac:dyDescent="0.2">
      <c r="B8" s="545" t="s">
        <v>584</v>
      </c>
      <c r="C8" s="660">
        <v>16</v>
      </c>
      <c r="D8" s="778" t="s">
        <v>529</v>
      </c>
      <c r="E8" s="778" t="s">
        <v>738</v>
      </c>
    </row>
    <row r="9" spans="2:14" x14ac:dyDescent="0.2">
      <c r="B9" s="545" t="s">
        <v>427</v>
      </c>
      <c r="C9" s="660">
        <v>14</v>
      </c>
      <c r="D9" s="778" t="s">
        <v>529</v>
      </c>
      <c r="E9" s="778" t="s">
        <v>738</v>
      </c>
    </row>
    <row r="10" spans="2:14" x14ac:dyDescent="0.2">
      <c r="B10" s="572" t="s">
        <v>428</v>
      </c>
      <c r="C10" s="660">
        <f>C3</f>
        <v>8</v>
      </c>
      <c r="D10" s="778" t="s">
        <v>529</v>
      </c>
      <c r="E10" s="778" t="s">
        <v>738</v>
      </c>
    </row>
    <row r="11" spans="2:14" x14ac:dyDescent="0.2">
      <c r="B11" s="572" t="s">
        <v>714</v>
      </c>
      <c r="C11" s="660">
        <f>C5</f>
        <v>8</v>
      </c>
      <c r="D11" s="778" t="s">
        <v>529</v>
      </c>
      <c r="E11" s="778" t="s">
        <v>738</v>
      </c>
    </row>
    <row r="12" spans="2:14" x14ac:dyDescent="0.2">
      <c r="B12" s="572" t="s">
        <v>585</v>
      </c>
      <c r="C12" s="660">
        <f>C7</f>
        <v>15</v>
      </c>
      <c r="D12" s="778" t="s">
        <v>529</v>
      </c>
      <c r="E12" s="778" t="s">
        <v>738</v>
      </c>
    </row>
    <row r="13" spans="2:14" x14ac:dyDescent="0.2">
      <c r="B13" s="572" t="s">
        <v>429</v>
      </c>
      <c r="C13" s="660">
        <f>C8</f>
        <v>16</v>
      </c>
      <c r="D13" s="778" t="s">
        <v>529</v>
      </c>
      <c r="E13" s="778" t="s">
        <v>738</v>
      </c>
    </row>
    <row r="14" spans="2:14" x14ac:dyDescent="0.2">
      <c r="B14" s="572" t="s">
        <v>430</v>
      </c>
      <c r="C14" s="660">
        <f>C9</f>
        <v>14</v>
      </c>
      <c r="D14" s="778" t="s">
        <v>529</v>
      </c>
      <c r="E14" s="778" t="s">
        <v>738</v>
      </c>
    </row>
    <row r="15" spans="2:14" x14ac:dyDescent="0.2">
      <c r="B15" s="545" t="s">
        <v>425</v>
      </c>
      <c r="C15" s="1238">
        <v>11</v>
      </c>
      <c r="D15" s="778" t="s">
        <v>529</v>
      </c>
      <c r="E15" s="778" t="s">
        <v>761</v>
      </c>
    </row>
    <row r="16" spans="2:14" x14ac:dyDescent="0.2">
      <c r="B16" s="778" t="s">
        <v>749</v>
      </c>
      <c r="C16" s="1238">
        <v>11</v>
      </c>
      <c r="D16" s="778" t="s">
        <v>529</v>
      </c>
      <c r="E16" s="778" t="s">
        <v>761</v>
      </c>
    </row>
    <row r="17" spans="2:14" x14ac:dyDescent="0.2">
      <c r="B17" s="545" t="s">
        <v>713</v>
      </c>
      <c r="C17" s="1238">
        <v>10</v>
      </c>
      <c r="D17" s="778" t="s">
        <v>529</v>
      </c>
      <c r="E17" s="778" t="s">
        <v>761</v>
      </c>
    </row>
    <row r="18" spans="2:14" x14ac:dyDescent="0.2">
      <c r="B18" s="778" t="s">
        <v>518</v>
      </c>
      <c r="C18" s="661">
        <v>0</v>
      </c>
      <c r="D18" s="779" t="s">
        <v>530</v>
      </c>
      <c r="E18" s="778" t="s">
        <v>761</v>
      </c>
      <c r="L18" s="546">
        <v>0</v>
      </c>
      <c r="M18" s="545" t="s">
        <v>389</v>
      </c>
      <c r="N18" s="545" t="s">
        <v>393</v>
      </c>
    </row>
    <row r="19" spans="2:14" x14ac:dyDescent="0.2">
      <c r="B19" s="545" t="s">
        <v>583</v>
      </c>
      <c r="C19" s="660">
        <v>16</v>
      </c>
      <c r="D19" s="778" t="s">
        <v>529</v>
      </c>
      <c r="E19" s="778" t="s">
        <v>761</v>
      </c>
    </row>
    <row r="20" spans="2:14" x14ac:dyDescent="0.2">
      <c r="B20" s="545" t="s">
        <v>584</v>
      </c>
      <c r="C20" s="660">
        <v>16</v>
      </c>
      <c r="D20" s="778" t="s">
        <v>529</v>
      </c>
      <c r="E20" s="778" t="s">
        <v>761</v>
      </c>
    </row>
    <row r="21" spans="2:14" x14ac:dyDescent="0.2">
      <c r="B21" s="545" t="s">
        <v>427</v>
      </c>
      <c r="C21" s="660">
        <v>14</v>
      </c>
      <c r="D21" s="778" t="s">
        <v>529</v>
      </c>
      <c r="E21" s="778" t="s">
        <v>761</v>
      </c>
    </row>
    <row r="22" spans="2:14" x14ac:dyDescent="0.2">
      <c r="B22" s="572" t="s">
        <v>428</v>
      </c>
      <c r="C22" s="660">
        <f>C15</f>
        <v>11</v>
      </c>
      <c r="D22" s="778" t="s">
        <v>529</v>
      </c>
      <c r="E22" s="778" t="s">
        <v>761</v>
      </c>
    </row>
    <row r="23" spans="2:14" x14ac:dyDescent="0.2">
      <c r="B23" s="572" t="s">
        <v>714</v>
      </c>
      <c r="C23" s="660">
        <f>C17</f>
        <v>10</v>
      </c>
      <c r="D23" s="778" t="s">
        <v>529</v>
      </c>
      <c r="E23" s="778" t="s">
        <v>761</v>
      </c>
    </row>
    <row r="24" spans="2:14" x14ac:dyDescent="0.2">
      <c r="B24" s="572" t="s">
        <v>585</v>
      </c>
      <c r="C24" s="660">
        <f>C19</f>
        <v>16</v>
      </c>
      <c r="D24" s="778" t="s">
        <v>529</v>
      </c>
      <c r="E24" s="778" t="s">
        <v>761</v>
      </c>
    </row>
    <row r="25" spans="2:14" x14ac:dyDescent="0.2">
      <c r="B25" s="572" t="s">
        <v>429</v>
      </c>
      <c r="C25" s="660">
        <f>C20</f>
        <v>16</v>
      </c>
      <c r="D25" s="778" t="s">
        <v>529</v>
      </c>
      <c r="E25" s="778" t="s">
        <v>761</v>
      </c>
    </row>
    <row r="26" spans="2:14" x14ac:dyDescent="0.2">
      <c r="B26" s="572" t="s">
        <v>430</v>
      </c>
      <c r="C26" s="660">
        <f>C21</f>
        <v>14</v>
      </c>
      <c r="D26" s="778" t="s">
        <v>529</v>
      </c>
      <c r="E26" s="778" t="s">
        <v>761</v>
      </c>
    </row>
    <row r="27" spans="2:14" x14ac:dyDescent="0.2">
      <c r="B27" s="545" t="s">
        <v>425</v>
      </c>
      <c r="C27" s="1238">
        <v>11</v>
      </c>
      <c r="D27" s="778" t="s">
        <v>529</v>
      </c>
      <c r="E27" s="778" t="s">
        <v>352</v>
      </c>
    </row>
    <row r="28" spans="2:14" x14ac:dyDescent="0.2">
      <c r="B28" s="778" t="s">
        <v>749</v>
      </c>
      <c r="C28" s="1238">
        <v>11</v>
      </c>
      <c r="D28" s="778" t="s">
        <v>529</v>
      </c>
      <c r="E28" s="778" t="s">
        <v>352</v>
      </c>
    </row>
    <row r="29" spans="2:14" x14ac:dyDescent="0.2">
      <c r="B29" s="545" t="s">
        <v>713</v>
      </c>
      <c r="C29" s="1238">
        <v>10</v>
      </c>
      <c r="D29" s="778" t="s">
        <v>529</v>
      </c>
      <c r="E29" s="778" t="s">
        <v>352</v>
      </c>
    </row>
    <row r="30" spans="2:14" x14ac:dyDescent="0.2">
      <c r="B30" s="778" t="s">
        <v>518</v>
      </c>
      <c r="C30" s="661">
        <v>0</v>
      </c>
      <c r="D30" s="779" t="s">
        <v>530</v>
      </c>
      <c r="E30" s="778" t="s">
        <v>352</v>
      </c>
      <c r="L30" s="546">
        <v>0</v>
      </c>
      <c r="M30" s="545" t="s">
        <v>389</v>
      </c>
      <c r="N30" s="545" t="s">
        <v>393</v>
      </c>
    </row>
    <row r="31" spans="2:14" x14ac:dyDescent="0.2">
      <c r="B31" s="545" t="s">
        <v>583</v>
      </c>
      <c r="C31" s="660">
        <v>16</v>
      </c>
      <c r="D31" s="778" t="s">
        <v>529</v>
      </c>
      <c r="E31" s="778" t="s">
        <v>352</v>
      </c>
    </row>
    <row r="32" spans="2:14" x14ac:dyDescent="0.2">
      <c r="B32" s="545" t="s">
        <v>584</v>
      </c>
      <c r="C32" s="660">
        <v>16</v>
      </c>
      <c r="D32" s="778" t="s">
        <v>529</v>
      </c>
      <c r="E32" s="778" t="s">
        <v>352</v>
      </c>
    </row>
    <row r="33" spans="2:14" x14ac:dyDescent="0.2">
      <c r="B33" s="545" t="s">
        <v>427</v>
      </c>
      <c r="C33" s="660">
        <v>14</v>
      </c>
      <c r="D33" s="778" t="s">
        <v>529</v>
      </c>
      <c r="E33" s="778" t="s">
        <v>352</v>
      </c>
    </row>
    <row r="34" spans="2:14" x14ac:dyDescent="0.2">
      <c r="B34" s="572" t="s">
        <v>428</v>
      </c>
      <c r="C34" s="660">
        <f>C27</f>
        <v>11</v>
      </c>
      <c r="D34" s="778" t="s">
        <v>529</v>
      </c>
      <c r="E34" s="778" t="s">
        <v>352</v>
      </c>
    </row>
    <row r="35" spans="2:14" x14ac:dyDescent="0.2">
      <c r="B35" s="572" t="s">
        <v>714</v>
      </c>
      <c r="C35" s="660">
        <f>C29</f>
        <v>10</v>
      </c>
      <c r="D35" s="778" t="s">
        <v>529</v>
      </c>
      <c r="E35" s="778" t="s">
        <v>352</v>
      </c>
    </row>
    <row r="36" spans="2:14" x14ac:dyDescent="0.2">
      <c r="B36" s="572" t="s">
        <v>585</v>
      </c>
      <c r="C36" s="660">
        <f>C31</f>
        <v>16</v>
      </c>
      <c r="D36" s="778" t="s">
        <v>529</v>
      </c>
      <c r="E36" s="778" t="s">
        <v>352</v>
      </c>
    </row>
    <row r="37" spans="2:14" x14ac:dyDescent="0.2">
      <c r="B37" s="572" t="s">
        <v>429</v>
      </c>
      <c r="C37" s="660">
        <f>C32</f>
        <v>16</v>
      </c>
      <c r="D37" s="778" t="s">
        <v>529</v>
      </c>
      <c r="E37" s="778" t="s">
        <v>352</v>
      </c>
    </row>
    <row r="38" spans="2:14" x14ac:dyDescent="0.2">
      <c r="B38" s="572" t="s">
        <v>430</v>
      </c>
      <c r="C38" s="660">
        <f>C33</f>
        <v>14</v>
      </c>
      <c r="D38" s="778" t="s">
        <v>529</v>
      </c>
      <c r="E38" s="778" t="s">
        <v>352</v>
      </c>
    </row>
    <row r="39" spans="2:14" x14ac:dyDescent="0.2">
      <c r="B39" s="545" t="s">
        <v>425</v>
      </c>
      <c r="C39" s="660">
        <v>10</v>
      </c>
      <c r="D39" s="778" t="s">
        <v>529</v>
      </c>
      <c r="E39" s="778" t="s">
        <v>680</v>
      </c>
    </row>
    <row r="40" spans="2:14" x14ac:dyDescent="0.2">
      <c r="B40" s="778" t="s">
        <v>749</v>
      </c>
      <c r="C40" s="660">
        <v>10</v>
      </c>
      <c r="D40" s="778" t="s">
        <v>529</v>
      </c>
      <c r="E40" s="778" t="s">
        <v>680</v>
      </c>
    </row>
    <row r="41" spans="2:14" x14ac:dyDescent="0.2">
      <c r="B41" s="545" t="s">
        <v>713</v>
      </c>
      <c r="C41" s="660">
        <v>8</v>
      </c>
      <c r="D41" s="778" t="s">
        <v>529</v>
      </c>
      <c r="E41" s="778" t="s">
        <v>680</v>
      </c>
    </row>
    <row r="42" spans="2:14" x14ac:dyDescent="0.2">
      <c r="B42" s="778" t="s">
        <v>518</v>
      </c>
      <c r="C42" s="661">
        <v>0</v>
      </c>
      <c r="D42" s="779" t="s">
        <v>530</v>
      </c>
      <c r="E42" s="778" t="s">
        <v>680</v>
      </c>
      <c r="L42" s="546">
        <v>0</v>
      </c>
      <c r="M42" s="545" t="s">
        <v>389</v>
      </c>
      <c r="N42" s="545" t="s">
        <v>393</v>
      </c>
    </row>
    <row r="43" spans="2:14" x14ac:dyDescent="0.2">
      <c r="B43" s="545" t="s">
        <v>583</v>
      </c>
      <c r="C43" s="660">
        <v>12</v>
      </c>
      <c r="D43" s="778" t="s">
        <v>529</v>
      </c>
      <c r="E43" s="778" t="s">
        <v>680</v>
      </c>
    </row>
    <row r="44" spans="2:14" x14ac:dyDescent="0.2">
      <c r="B44" s="545" t="s">
        <v>584</v>
      </c>
      <c r="C44" s="660">
        <v>12</v>
      </c>
      <c r="D44" s="778" t="s">
        <v>529</v>
      </c>
      <c r="E44" s="778" t="s">
        <v>680</v>
      </c>
    </row>
    <row r="45" spans="2:14" x14ac:dyDescent="0.2">
      <c r="B45" s="545" t="s">
        <v>427</v>
      </c>
      <c r="C45" s="660">
        <v>14</v>
      </c>
      <c r="D45" s="778" t="s">
        <v>529</v>
      </c>
      <c r="E45" s="778" t="s">
        <v>680</v>
      </c>
    </row>
    <row r="46" spans="2:14" x14ac:dyDescent="0.2">
      <c r="B46" s="572" t="s">
        <v>428</v>
      </c>
      <c r="C46" s="660">
        <f>C39</f>
        <v>10</v>
      </c>
      <c r="D46" s="778" t="s">
        <v>529</v>
      </c>
      <c r="E46" s="778" t="s">
        <v>680</v>
      </c>
    </row>
    <row r="47" spans="2:14" x14ac:dyDescent="0.2">
      <c r="B47" s="572" t="s">
        <v>714</v>
      </c>
      <c r="C47" s="660">
        <f>C41</f>
        <v>8</v>
      </c>
      <c r="D47" s="778" t="s">
        <v>529</v>
      </c>
      <c r="E47" s="778" t="s">
        <v>680</v>
      </c>
    </row>
    <row r="48" spans="2:14" x14ac:dyDescent="0.2">
      <c r="B48" s="572" t="s">
        <v>585</v>
      </c>
      <c r="C48" s="660">
        <f>C43</f>
        <v>12</v>
      </c>
      <c r="D48" s="778" t="s">
        <v>529</v>
      </c>
      <c r="E48" s="778" t="s">
        <v>680</v>
      </c>
    </row>
    <row r="49" spans="2:14" x14ac:dyDescent="0.2">
      <c r="B49" s="572" t="s">
        <v>429</v>
      </c>
      <c r="C49" s="660">
        <f>C44</f>
        <v>12</v>
      </c>
      <c r="D49" s="778" t="s">
        <v>529</v>
      </c>
      <c r="E49" s="778" t="s">
        <v>680</v>
      </c>
    </row>
    <row r="50" spans="2:14" x14ac:dyDescent="0.2">
      <c r="B50" s="572" t="s">
        <v>430</v>
      </c>
      <c r="C50" s="660">
        <f>C45</f>
        <v>14</v>
      </c>
      <c r="D50" s="778" t="s">
        <v>529</v>
      </c>
      <c r="E50" s="778" t="s">
        <v>680</v>
      </c>
    </row>
    <row r="51" spans="2:14" x14ac:dyDescent="0.2">
      <c r="B51" s="545" t="s">
        <v>425</v>
      </c>
      <c r="C51" s="1239">
        <v>7</v>
      </c>
      <c r="D51" s="778" t="s">
        <v>529</v>
      </c>
      <c r="E51" s="545" t="s">
        <v>459</v>
      </c>
    </row>
    <row r="52" spans="2:14" x14ac:dyDescent="0.2">
      <c r="B52" s="778" t="s">
        <v>749</v>
      </c>
      <c r="C52" s="1239">
        <v>7</v>
      </c>
      <c r="D52" s="778" t="s">
        <v>529</v>
      </c>
      <c r="E52" s="545" t="s">
        <v>459</v>
      </c>
    </row>
    <row r="53" spans="2:14" x14ac:dyDescent="0.2">
      <c r="B53" s="545" t="s">
        <v>713</v>
      </c>
      <c r="C53" s="1239">
        <v>6</v>
      </c>
      <c r="D53" s="778" t="s">
        <v>529</v>
      </c>
      <c r="E53" s="545" t="s">
        <v>459</v>
      </c>
    </row>
    <row r="54" spans="2:14" x14ac:dyDescent="0.2">
      <c r="B54" s="778" t="s">
        <v>518</v>
      </c>
      <c r="C54" s="661">
        <v>0</v>
      </c>
      <c r="D54" s="779" t="s">
        <v>530</v>
      </c>
      <c r="E54" s="545" t="s">
        <v>459</v>
      </c>
      <c r="L54" s="546">
        <v>0</v>
      </c>
      <c r="M54" s="545" t="s">
        <v>389</v>
      </c>
      <c r="N54" s="545" t="s">
        <v>393</v>
      </c>
    </row>
    <row r="55" spans="2:14" x14ac:dyDescent="0.2">
      <c r="B55" s="545" t="s">
        <v>583</v>
      </c>
      <c r="C55" s="1239">
        <v>15</v>
      </c>
      <c r="D55" s="778" t="s">
        <v>529</v>
      </c>
      <c r="E55" s="545" t="s">
        <v>459</v>
      </c>
    </row>
    <row r="56" spans="2:14" x14ac:dyDescent="0.2">
      <c r="B56" s="545" t="s">
        <v>584</v>
      </c>
      <c r="C56" s="1239">
        <v>15</v>
      </c>
      <c r="D56" s="778" t="s">
        <v>529</v>
      </c>
      <c r="E56" s="545" t="s">
        <v>459</v>
      </c>
    </row>
    <row r="57" spans="2:14" x14ac:dyDescent="0.2">
      <c r="B57" s="545" t="s">
        <v>427</v>
      </c>
      <c r="C57" s="1239">
        <v>15</v>
      </c>
      <c r="D57" s="778" t="s">
        <v>529</v>
      </c>
      <c r="E57" s="545" t="s">
        <v>459</v>
      </c>
    </row>
    <row r="58" spans="2:14" x14ac:dyDescent="0.2">
      <c r="B58" s="572" t="s">
        <v>428</v>
      </c>
      <c r="C58" s="545">
        <f>C51</f>
        <v>7</v>
      </c>
      <c r="D58" s="778" t="s">
        <v>529</v>
      </c>
      <c r="E58" s="545" t="s">
        <v>459</v>
      </c>
    </row>
    <row r="59" spans="2:14" x14ac:dyDescent="0.2">
      <c r="B59" s="572" t="s">
        <v>714</v>
      </c>
      <c r="C59" s="545">
        <f>C53</f>
        <v>6</v>
      </c>
      <c r="D59" s="778" t="s">
        <v>529</v>
      </c>
      <c r="E59" s="545" t="s">
        <v>459</v>
      </c>
    </row>
    <row r="60" spans="2:14" x14ac:dyDescent="0.2">
      <c r="B60" s="572" t="s">
        <v>585</v>
      </c>
      <c r="C60" s="545">
        <f>C55</f>
        <v>15</v>
      </c>
      <c r="D60" s="778" t="s">
        <v>529</v>
      </c>
      <c r="E60" s="545" t="s">
        <v>459</v>
      </c>
    </row>
    <row r="61" spans="2:14" x14ac:dyDescent="0.2">
      <c r="B61" s="572" t="s">
        <v>429</v>
      </c>
      <c r="C61" s="545">
        <f>C56</f>
        <v>15</v>
      </c>
      <c r="D61" s="778" t="s">
        <v>529</v>
      </c>
      <c r="E61" s="545" t="s">
        <v>459</v>
      </c>
    </row>
    <row r="62" spans="2:14" x14ac:dyDescent="0.2">
      <c r="B62" s="572" t="s">
        <v>430</v>
      </c>
      <c r="C62" s="545">
        <f>C57</f>
        <v>15</v>
      </c>
      <c r="D62" s="778" t="s">
        <v>529</v>
      </c>
      <c r="E62" s="545" t="s">
        <v>459</v>
      </c>
    </row>
    <row r="63" spans="2:14" x14ac:dyDescent="0.2">
      <c r="B63" s="545" t="s">
        <v>425</v>
      </c>
      <c r="C63" s="545">
        <v>10</v>
      </c>
      <c r="D63" s="778" t="s">
        <v>529</v>
      </c>
      <c r="E63" s="545" t="s">
        <v>547</v>
      </c>
    </row>
    <row r="64" spans="2:14" x14ac:dyDescent="0.2">
      <c r="B64" s="778" t="s">
        <v>749</v>
      </c>
      <c r="C64" s="545">
        <v>10</v>
      </c>
      <c r="D64" s="778" t="s">
        <v>529</v>
      </c>
      <c r="E64" s="545" t="s">
        <v>547</v>
      </c>
    </row>
    <row r="65" spans="2:14" x14ac:dyDescent="0.2">
      <c r="B65" s="545" t="s">
        <v>713</v>
      </c>
      <c r="C65" s="545">
        <v>10</v>
      </c>
      <c r="D65" s="778" t="s">
        <v>529</v>
      </c>
      <c r="E65" s="545" t="s">
        <v>547</v>
      </c>
    </row>
    <row r="66" spans="2:14" x14ac:dyDescent="0.2">
      <c r="B66" s="778" t="s">
        <v>518</v>
      </c>
      <c r="C66" s="661">
        <v>0</v>
      </c>
      <c r="D66" s="779" t="s">
        <v>530</v>
      </c>
      <c r="E66" s="545" t="s">
        <v>547</v>
      </c>
      <c r="L66" s="546">
        <v>0</v>
      </c>
      <c r="M66" s="545" t="s">
        <v>389</v>
      </c>
      <c r="N66" s="545" t="s">
        <v>393</v>
      </c>
    </row>
    <row r="67" spans="2:14" x14ac:dyDescent="0.2">
      <c r="B67" s="545" t="s">
        <v>583</v>
      </c>
      <c r="C67" s="545">
        <v>5</v>
      </c>
      <c r="D67" s="778" t="s">
        <v>529</v>
      </c>
      <c r="E67" s="545" t="s">
        <v>547</v>
      </c>
    </row>
    <row r="68" spans="2:14" x14ac:dyDescent="0.2">
      <c r="B68" s="545" t="s">
        <v>584</v>
      </c>
      <c r="C68" s="545">
        <v>5</v>
      </c>
      <c r="D68" s="778" t="s">
        <v>529</v>
      </c>
      <c r="E68" s="545" t="s">
        <v>547</v>
      </c>
    </row>
    <row r="69" spans="2:14" x14ac:dyDescent="0.2">
      <c r="B69" s="545" t="s">
        <v>427</v>
      </c>
      <c r="C69" s="545">
        <v>11</v>
      </c>
      <c r="D69" s="778" t="s">
        <v>529</v>
      </c>
      <c r="E69" s="545" t="s">
        <v>547</v>
      </c>
      <c r="K69" s="544">
        <v>1</v>
      </c>
    </row>
    <row r="70" spans="2:14" x14ac:dyDescent="0.2">
      <c r="B70" s="572" t="s">
        <v>428</v>
      </c>
      <c r="C70" s="545">
        <f>C63</f>
        <v>10</v>
      </c>
      <c r="D70" s="778" t="s">
        <v>529</v>
      </c>
      <c r="E70" s="545" t="s">
        <v>547</v>
      </c>
      <c r="K70" s="544">
        <v>2</v>
      </c>
      <c r="L70" s="544">
        <v>1</v>
      </c>
      <c r="M70" s="545" t="s">
        <v>389</v>
      </c>
      <c r="N70" s="545" t="s">
        <v>390</v>
      </c>
    </row>
    <row r="71" spans="2:14" x14ac:dyDescent="0.2">
      <c r="B71" s="572" t="s">
        <v>714</v>
      </c>
      <c r="C71" s="545">
        <f>C65</f>
        <v>10</v>
      </c>
      <c r="D71" s="778" t="s">
        <v>529</v>
      </c>
      <c r="E71" s="545" t="s">
        <v>547</v>
      </c>
      <c r="K71" s="544">
        <v>2</v>
      </c>
      <c r="L71" s="544">
        <v>1</v>
      </c>
      <c r="M71" s="545" t="s">
        <v>389</v>
      </c>
      <c r="N71" s="545" t="s">
        <v>390</v>
      </c>
    </row>
    <row r="72" spans="2:14" x14ac:dyDescent="0.2">
      <c r="B72" s="572" t="s">
        <v>585</v>
      </c>
      <c r="C72" s="545">
        <f>C67</f>
        <v>5</v>
      </c>
      <c r="D72" s="778" t="s">
        <v>529</v>
      </c>
      <c r="E72" s="545" t="s">
        <v>547</v>
      </c>
      <c r="M72" s="545" t="s">
        <v>389</v>
      </c>
      <c r="N72" s="545" t="s">
        <v>435</v>
      </c>
    </row>
    <row r="73" spans="2:14" x14ac:dyDescent="0.2">
      <c r="B73" s="572" t="s">
        <v>429</v>
      </c>
      <c r="C73" s="545">
        <f>C68</f>
        <v>5</v>
      </c>
      <c r="D73" s="778" t="s">
        <v>529</v>
      </c>
      <c r="E73" s="545" t="s">
        <v>547</v>
      </c>
      <c r="M73" s="545" t="s">
        <v>389</v>
      </c>
      <c r="N73" s="545" t="s">
        <v>435</v>
      </c>
    </row>
    <row r="74" spans="2:14" x14ac:dyDescent="0.2">
      <c r="B74" s="572" t="s">
        <v>430</v>
      </c>
      <c r="C74" s="545">
        <f>C69</f>
        <v>11</v>
      </c>
      <c r="D74" s="778" t="s">
        <v>529</v>
      </c>
      <c r="E74" s="545" t="s">
        <v>547</v>
      </c>
      <c r="M74" s="545" t="s">
        <v>389</v>
      </c>
      <c r="N74" s="545" t="s">
        <v>390</v>
      </c>
    </row>
    <row r="75" spans="2:14" x14ac:dyDescent="0.2">
      <c r="B75" s="545" t="s">
        <v>425</v>
      </c>
      <c r="C75" s="545">
        <v>5</v>
      </c>
      <c r="D75" s="779" t="s">
        <v>530</v>
      </c>
      <c r="E75" s="545" t="s">
        <v>546</v>
      </c>
    </row>
    <row r="76" spans="2:14" x14ac:dyDescent="0.2">
      <c r="B76" s="778" t="s">
        <v>749</v>
      </c>
      <c r="C76" s="545">
        <v>5</v>
      </c>
      <c r="D76" s="779" t="s">
        <v>530</v>
      </c>
      <c r="E76" s="545" t="s">
        <v>546</v>
      </c>
    </row>
    <row r="77" spans="2:14" x14ac:dyDescent="0.2">
      <c r="B77" s="545" t="s">
        <v>713</v>
      </c>
      <c r="C77" s="545">
        <v>5</v>
      </c>
      <c r="D77" s="779" t="s">
        <v>530</v>
      </c>
      <c r="E77" s="545" t="s">
        <v>546</v>
      </c>
    </row>
    <row r="78" spans="2:14" x14ac:dyDescent="0.2">
      <c r="B78" s="778" t="s">
        <v>518</v>
      </c>
      <c r="C78" s="661">
        <v>0</v>
      </c>
      <c r="D78" s="779" t="s">
        <v>530</v>
      </c>
      <c r="E78" s="545" t="s">
        <v>546</v>
      </c>
      <c r="L78" s="546">
        <v>0</v>
      </c>
      <c r="M78" s="545" t="s">
        <v>389</v>
      </c>
      <c r="N78" s="545" t="s">
        <v>393</v>
      </c>
    </row>
    <row r="79" spans="2:14" x14ac:dyDescent="0.2">
      <c r="B79" s="545" t="s">
        <v>583</v>
      </c>
      <c r="C79" s="545">
        <v>15</v>
      </c>
      <c r="D79" s="779" t="s">
        <v>530</v>
      </c>
      <c r="E79" s="545" t="s">
        <v>546</v>
      </c>
    </row>
    <row r="80" spans="2:14" x14ac:dyDescent="0.2">
      <c r="B80" s="545" t="s">
        <v>584</v>
      </c>
      <c r="C80" s="545">
        <v>15</v>
      </c>
      <c r="D80" s="779" t="s">
        <v>530</v>
      </c>
      <c r="E80" s="545" t="s">
        <v>546</v>
      </c>
    </row>
    <row r="81" spans="2:14" x14ac:dyDescent="0.2">
      <c r="B81" s="545" t="s">
        <v>427</v>
      </c>
      <c r="C81" s="545">
        <v>15</v>
      </c>
      <c r="D81" s="779" t="s">
        <v>530</v>
      </c>
      <c r="E81" s="545" t="s">
        <v>546</v>
      </c>
      <c r="K81" s="544">
        <v>1</v>
      </c>
    </row>
    <row r="82" spans="2:14" x14ac:dyDescent="0.2">
      <c r="B82" s="572" t="s">
        <v>428</v>
      </c>
      <c r="C82" s="545">
        <f>C75</f>
        <v>5</v>
      </c>
      <c r="D82" s="779" t="s">
        <v>530</v>
      </c>
      <c r="E82" s="545" t="s">
        <v>546</v>
      </c>
      <c r="K82" s="544">
        <v>2</v>
      </c>
      <c r="L82" s="544">
        <v>1</v>
      </c>
      <c r="M82" s="545" t="s">
        <v>389</v>
      </c>
      <c r="N82" s="545" t="s">
        <v>390</v>
      </c>
    </row>
    <row r="83" spans="2:14" x14ac:dyDescent="0.2">
      <c r="B83" s="572" t="s">
        <v>714</v>
      </c>
      <c r="C83" s="545">
        <f>C77</f>
        <v>5</v>
      </c>
      <c r="D83" s="779" t="s">
        <v>530</v>
      </c>
      <c r="E83" s="545" t="s">
        <v>546</v>
      </c>
      <c r="K83" s="544">
        <v>2</v>
      </c>
      <c r="L83" s="544">
        <v>1</v>
      </c>
      <c r="M83" s="545" t="s">
        <v>389</v>
      </c>
      <c r="N83" s="545" t="s">
        <v>390</v>
      </c>
    </row>
    <row r="84" spans="2:14" x14ac:dyDescent="0.2">
      <c r="B84" s="572" t="s">
        <v>585</v>
      </c>
      <c r="C84" s="545">
        <f>C79</f>
        <v>15</v>
      </c>
      <c r="D84" s="779" t="s">
        <v>530</v>
      </c>
      <c r="E84" s="545" t="s">
        <v>546</v>
      </c>
      <c r="M84" s="545" t="s">
        <v>389</v>
      </c>
      <c r="N84" s="545" t="s">
        <v>435</v>
      </c>
    </row>
    <row r="85" spans="2:14" x14ac:dyDescent="0.2">
      <c r="B85" s="572" t="s">
        <v>429</v>
      </c>
      <c r="C85" s="545">
        <f>C80</f>
        <v>15</v>
      </c>
      <c r="D85" s="779" t="s">
        <v>530</v>
      </c>
      <c r="E85" s="545" t="s">
        <v>546</v>
      </c>
      <c r="M85" s="545" t="s">
        <v>389</v>
      </c>
      <c r="N85" s="545" t="s">
        <v>435</v>
      </c>
    </row>
    <row r="86" spans="2:14" x14ac:dyDescent="0.2">
      <c r="B86" s="572" t="s">
        <v>430</v>
      </c>
      <c r="C86" s="545">
        <f>C81</f>
        <v>15</v>
      </c>
      <c r="D86" s="779" t="s">
        <v>530</v>
      </c>
      <c r="E86" s="545" t="s">
        <v>546</v>
      </c>
      <c r="M86" s="545" t="s">
        <v>389</v>
      </c>
      <c r="N86" s="545" t="s">
        <v>390</v>
      </c>
    </row>
    <row r="87" spans="2:14" x14ac:dyDescent="0.2">
      <c r="B87" s="545" t="s">
        <v>425</v>
      </c>
      <c r="C87" s="1236">
        <v>36</v>
      </c>
      <c r="D87" s="778" t="s">
        <v>529</v>
      </c>
      <c r="E87" s="778" t="s">
        <v>513</v>
      </c>
      <c r="M87" s="545" t="s">
        <v>389</v>
      </c>
      <c r="N87" s="545" t="s">
        <v>390</v>
      </c>
    </row>
    <row r="88" spans="2:14" x14ac:dyDescent="0.2">
      <c r="B88" s="778" t="s">
        <v>749</v>
      </c>
      <c r="C88" s="1236">
        <v>36</v>
      </c>
      <c r="D88" s="778" t="s">
        <v>529</v>
      </c>
      <c r="E88" s="778" t="s">
        <v>513</v>
      </c>
    </row>
    <row r="89" spans="2:14" x14ac:dyDescent="0.2">
      <c r="B89" s="545" t="s">
        <v>713</v>
      </c>
      <c r="C89" s="1236">
        <v>35</v>
      </c>
      <c r="D89" s="778" t="s">
        <v>529</v>
      </c>
      <c r="E89" s="778" t="s">
        <v>513</v>
      </c>
      <c r="M89" s="545" t="s">
        <v>389</v>
      </c>
      <c r="N89" s="545" t="s">
        <v>390</v>
      </c>
    </row>
    <row r="90" spans="2:14" x14ac:dyDescent="0.2">
      <c r="B90" s="778" t="s">
        <v>518</v>
      </c>
      <c r="C90" s="661">
        <v>5</v>
      </c>
      <c r="D90" s="779" t="s">
        <v>530</v>
      </c>
      <c r="E90" s="778" t="s">
        <v>513</v>
      </c>
      <c r="L90" s="546">
        <v>0</v>
      </c>
      <c r="M90" s="545" t="s">
        <v>389</v>
      </c>
      <c r="N90" s="545" t="s">
        <v>393</v>
      </c>
    </row>
    <row r="91" spans="2:14" x14ac:dyDescent="0.2">
      <c r="B91" s="545" t="s">
        <v>583</v>
      </c>
      <c r="C91" s="661">
        <v>31</v>
      </c>
      <c r="D91" s="778" t="s">
        <v>529</v>
      </c>
      <c r="E91" s="778" t="s">
        <v>513</v>
      </c>
      <c r="M91" s="545" t="s">
        <v>389</v>
      </c>
      <c r="N91" s="545" t="s">
        <v>390</v>
      </c>
    </row>
    <row r="92" spans="2:14" x14ac:dyDescent="0.2">
      <c r="B92" s="545" t="s">
        <v>584</v>
      </c>
      <c r="C92" s="661">
        <v>31</v>
      </c>
      <c r="D92" s="778" t="s">
        <v>529</v>
      </c>
      <c r="E92" s="778" t="s">
        <v>513</v>
      </c>
      <c r="M92" s="545" t="s">
        <v>389</v>
      </c>
      <c r="N92" s="545" t="s">
        <v>390</v>
      </c>
    </row>
    <row r="93" spans="2:14" x14ac:dyDescent="0.2">
      <c r="B93" s="545" t="s">
        <v>427</v>
      </c>
      <c r="C93" s="661">
        <v>27</v>
      </c>
      <c r="D93" s="778" t="s">
        <v>529</v>
      </c>
      <c r="E93" s="778" t="s">
        <v>513</v>
      </c>
      <c r="M93" s="545" t="s">
        <v>389</v>
      </c>
      <c r="N93" s="545" t="s">
        <v>390</v>
      </c>
    </row>
    <row r="94" spans="2:14" x14ac:dyDescent="0.2">
      <c r="B94" s="572" t="s">
        <v>428</v>
      </c>
      <c r="C94" s="661">
        <f>C87</f>
        <v>36</v>
      </c>
      <c r="D94" s="778" t="s">
        <v>529</v>
      </c>
      <c r="E94" s="778" t="s">
        <v>513</v>
      </c>
      <c r="K94" s="544">
        <v>3</v>
      </c>
      <c r="L94" s="546">
        <v>0</v>
      </c>
      <c r="M94" s="545" t="s">
        <v>389</v>
      </c>
      <c r="N94" s="545" t="s">
        <v>393</v>
      </c>
    </row>
    <row r="95" spans="2:14" x14ac:dyDescent="0.2">
      <c r="B95" s="572" t="s">
        <v>714</v>
      </c>
      <c r="C95" s="661">
        <f>C89</f>
        <v>35</v>
      </c>
      <c r="D95" s="778" t="s">
        <v>529</v>
      </c>
      <c r="E95" s="778" t="s">
        <v>513</v>
      </c>
      <c r="K95" s="544">
        <v>3</v>
      </c>
      <c r="L95" s="546">
        <v>0</v>
      </c>
      <c r="M95" s="545" t="s">
        <v>389</v>
      </c>
      <c r="N95" s="545" t="s">
        <v>393</v>
      </c>
    </row>
    <row r="96" spans="2:14" x14ac:dyDescent="0.2">
      <c r="B96" s="572" t="s">
        <v>585</v>
      </c>
      <c r="C96" s="661">
        <f>C91</f>
        <v>31</v>
      </c>
      <c r="D96" s="778" t="s">
        <v>529</v>
      </c>
      <c r="E96" s="778" t="s">
        <v>513</v>
      </c>
      <c r="L96" s="546">
        <v>0</v>
      </c>
      <c r="M96" s="545" t="s">
        <v>389</v>
      </c>
      <c r="N96" s="545" t="s">
        <v>393</v>
      </c>
    </row>
    <row r="97" spans="2:14" x14ac:dyDescent="0.2">
      <c r="B97" s="572" t="s">
        <v>429</v>
      </c>
      <c r="C97" s="661">
        <f>C92</f>
        <v>31</v>
      </c>
      <c r="D97" s="778" t="s">
        <v>529</v>
      </c>
      <c r="E97" s="778" t="s">
        <v>513</v>
      </c>
      <c r="L97" s="546">
        <v>0</v>
      </c>
      <c r="M97" s="545" t="s">
        <v>389</v>
      </c>
      <c r="N97" s="545" t="s">
        <v>393</v>
      </c>
    </row>
    <row r="98" spans="2:14" x14ac:dyDescent="0.2">
      <c r="B98" s="572" t="s">
        <v>430</v>
      </c>
      <c r="C98" s="661">
        <f>C93</f>
        <v>27</v>
      </c>
      <c r="D98" s="778" t="s">
        <v>529</v>
      </c>
      <c r="E98" s="778" t="s">
        <v>513</v>
      </c>
      <c r="L98" s="546">
        <v>0</v>
      </c>
      <c r="M98" s="545" t="s">
        <v>389</v>
      </c>
      <c r="N98" s="545" t="s">
        <v>393</v>
      </c>
    </row>
    <row r="99" spans="2:14" x14ac:dyDescent="0.2">
      <c r="B99" s="777" t="s">
        <v>514</v>
      </c>
      <c r="C99" s="543"/>
      <c r="D99" s="543"/>
      <c r="E99" s="543"/>
    </row>
    <row r="100" spans="2:14" x14ac:dyDescent="0.2">
      <c r="B100" s="545" t="s">
        <v>425</v>
      </c>
      <c r="C100" s="661">
        <v>2</v>
      </c>
      <c r="D100" s="778" t="s">
        <v>529</v>
      </c>
      <c r="E100" s="778" t="s">
        <v>392</v>
      </c>
      <c r="L100" s="546">
        <v>0</v>
      </c>
      <c r="M100" s="545" t="s">
        <v>389</v>
      </c>
      <c r="N100" s="545" t="s">
        <v>393</v>
      </c>
    </row>
    <row r="101" spans="2:14" x14ac:dyDescent="0.2">
      <c r="B101" s="778" t="s">
        <v>749</v>
      </c>
      <c r="C101" s="661">
        <v>2</v>
      </c>
      <c r="D101" s="778" t="s">
        <v>529</v>
      </c>
      <c r="E101" s="778" t="s">
        <v>392</v>
      </c>
    </row>
    <row r="102" spans="2:14" x14ac:dyDescent="0.2">
      <c r="B102" s="545" t="s">
        <v>713</v>
      </c>
      <c r="C102" s="661">
        <v>2</v>
      </c>
      <c r="D102" s="778" t="s">
        <v>529</v>
      </c>
      <c r="E102" s="778" t="s">
        <v>392</v>
      </c>
      <c r="L102" s="546">
        <v>0</v>
      </c>
      <c r="M102" s="545" t="s">
        <v>389</v>
      </c>
      <c r="N102" s="545" t="s">
        <v>393</v>
      </c>
    </row>
    <row r="103" spans="2:14" x14ac:dyDescent="0.2">
      <c r="B103" s="778" t="s">
        <v>518</v>
      </c>
      <c r="C103" s="661">
        <v>0</v>
      </c>
      <c r="D103" s="779" t="s">
        <v>530</v>
      </c>
      <c r="E103" s="778" t="s">
        <v>392</v>
      </c>
      <c r="L103" s="546">
        <v>0</v>
      </c>
      <c r="M103" s="545" t="s">
        <v>389</v>
      </c>
      <c r="N103" s="545" t="s">
        <v>393</v>
      </c>
    </row>
    <row r="104" spans="2:14" x14ac:dyDescent="0.2">
      <c r="B104" s="545" t="s">
        <v>583</v>
      </c>
      <c r="C104" s="661">
        <v>10</v>
      </c>
      <c r="D104" s="778" t="s">
        <v>529</v>
      </c>
      <c r="E104" s="778" t="s">
        <v>392</v>
      </c>
      <c r="L104" s="546">
        <v>0</v>
      </c>
      <c r="M104" s="545" t="s">
        <v>389</v>
      </c>
      <c r="N104" s="545" t="s">
        <v>393</v>
      </c>
    </row>
    <row r="105" spans="2:14" x14ac:dyDescent="0.2">
      <c r="B105" s="545" t="s">
        <v>584</v>
      </c>
      <c r="C105" s="661">
        <v>10</v>
      </c>
      <c r="D105" s="778" t="s">
        <v>529</v>
      </c>
      <c r="E105" s="778" t="s">
        <v>392</v>
      </c>
      <c r="L105" s="546">
        <v>0</v>
      </c>
      <c r="M105" s="545" t="s">
        <v>389</v>
      </c>
      <c r="N105" s="545" t="s">
        <v>393</v>
      </c>
    </row>
    <row r="106" spans="2:14" x14ac:dyDescent="0.2">
      <c r="B106" s="545" t="s">
        <v>427</v>
      </c>
      <c r="C106" s="661">
        <v>12</v>
      </c>
      <c r="D106" s="778" t="s">
        <v>529</v>
      </c>
      <c r="E106" s="778" t="s">
        <v>392</v>
      </c>
      <c r="L106" s="546">
        <v>0</v>
      </c>
      <c r="M106" s="545" t="s">
        <v>389</v>
      </c>
      <c r="N106" s="545" t="s">
        <v>393</v>
      </c>
    </row>
    <row r="107" spans="2:14" x14ac:dyDescent="0.2">
      <c r="B107" s="572" t="s">
        <v>428</v>
      </c>
      <c r="C107" s="661">
        <f>C100</f>
        <v>2</v>
      </c>
      <c r="D107" s="778" t="s">
        <v>529</v>
      </c>
      <c r="E107" s="778" t="s">
        <v>392</v>
      </c>
      <c r="K107" s="544">
        <v>4</v>
      </c>
      <c r="L107" s="546">
        <v>0</v>
      </c>
      <c r="M107" s="545" t="s">
        <v>389</v>
      </c>
      <c r="N107" s="545" t="s">
        <v>394</v>
      </c>
    </row>
    <row r="108" spans="2:14" x14ac:dyDescent="0.2">
      <c r="B108" s="572" t="s">
        <v>714</v>
      </c>
      <c r="C108" s="661">
        <f>C102</f>
        <v>2</v>
      </c>
      <c r="D108" s="778" t="s">
        <v>529</v>
      </c>
      <c r="E108" s="778" t="s">
        <v>392</v>
      </c>
      <c r="K108" s="544">
        <v>4</v>
      </c>
      <c r="L108" s="546">
        <v>0</v>
      </c>
      <c r="M108" s="545" t="s">
        <v>389</v>
      </c>
      <c r="N108" s="545" t="s">
        <v>394</v>
      </c>
    </row>
    <row r="109" spans="2:14" x14ac:dyDescent="0.2">
      <c r="B109" s="572" t="s">
        <v>585</v>
      </c>
      <c r="C109" s="661">
        <f>C104</f>
        <v>10</v>
      </c>
      <c r="D109" s="778" t="s">
        <v>529</v>
      </c>
      <c r="E109" s="778" t="s">
        <v>392</v>
      </c>
      <c r="L109" s="546">
        <v>0</v>
      </c>
      <c r="M109" s="545" t="s">
        <v>389</v>
      </c>
      <c r="N109" s="545" t="s">
        <v>394</v>
      </c>
    </row>
    <row r="110" spans="2:14" x14ac:dyDescent="0.2">
      <c r="B110" s="572" t="s">
        <v>429</v>
      </c>
      <c r="C110" s="661">
        <f>C105</f>
        <v>10</v>
      </c>
      <c r="D110" s="778" t="s">
        <v>529</v>
      </c>
      <c r="E110" s="778" t="s">
        <v>392</v>
      </c>
      <c r="L110" s="546">
        <v>0</v>
      </c>
      <c r="M110" s="545" t="s">
        <v>389</v>
      </c>
      <c r="N110" s="545" t="s">
        <v>394</v>
      </c>
    </row>
    <row r="111" spans="2:14" x14ac:dyDescent="0.2">
      <c r="B111" s="572" t="s">
        <v>430</v>
      </c>
      <c r="C111" s="661">
        <f>C106</f>
        <v>12</v>
      </c>
      <c r="D111" s="778" t="s">
        <v>529</v>
      </c>
      <c r="E111" s="778" t="s">
        <v>392</v>
      </c>
      <c r="L111" s="546">
        <v>0</v>
      </c>
      <c r="M111" s="545" t="s">
        <v>389</v>
      </c>
      <c r="N111" s="545" t="s">
        <v>394</v>
      </c>
    </row>
    <row r="112" spans="2:14" x14ac:dyDescent="0.2">
      <c r="B112" s="545" t="s">
        <v>425</v>
      </c>
      <c r="C112" s="661">
        <v>0</v>
      </c>
      <c r="D112" s="778" t="s">
        <v>529</v>
      </c>
      <c r="E112" s="778" t="s">
        <v>739</v>
      </c>
      <c r="L112" s="546">
        <v>0</v>
      </c>
      <c r="M112" s="545" t="s">
        <v>389</v>
      </c>
      <c r="N112" s="545" t="s">
        <v>394</v>
      </c>
    </row>
    <row r="113" spans="2:14" x14ac:dyDescent="0.2">
      <c r="B113" s="778" t="s">
        <v>749</v>
      </c>
      <c r="C113" s="661">
        <v>0</v>
      </c>
      <c r="D113" s="778" t="s">
        <v>529</v>
      </c>
      <c r="E113" s="778" t="s">
        <v>739</v>
      </c>
    </row>
    <row r="114" spans="2:14" x14ac:dyDescent="0.2">
      <c r="B114" s="545" t="s">
        <v>713</v>
      </c>
      <c r="C114" s="661">
        <v>0</v>
      </c>
      <c r="D114" s="778" t="s">
        <v>529</v>
      </c>
      <c r="E114" s="778" t="s">
        <v>739</v>
      </c>
      <c r="L114" s="546">
        <v>0</v>
      </c>
      <c r="M114" s="545" t="s">
        <v>389</v>
      </c>
      <c r="N114" s="545" t="s">
        <v>394</v>
      </c>
    </row>
    <row r="115" spans="2:14" x14ac:dyDescent="0.2">
      <c r="B115" s="778" t="s">
        <v>518</v>
      </c>
      <c r="C115" s="661">
        <v>0</v>
      </c>
      <c r="D115" s="779" t="s">
        <v>530</v>
      </c>
      <c r="E115" s="778" t="s">
        <v>739</v>
      </c>
      <c r="L115" s="546">
        <v>0</v>
      </c>
      <c r="M115" s="545" t="s">
        <v>389</v>
      </c>
      <c r="N115" s="545" t="s">
        <v>393</v>
      </c>
    </row>
    <row r="116" spans="2:14" x14ac:dyDescent="0.2">
      <c r="B116" s="545" t="s">
        <v>583</v>
      </c>
      <c r="C116" s="661">
        <v>12</v>
      </c>
      <c r="D116" s="778" t="s">
        <v>529</v>
      </c>
      <c r="E116" s="778" t="s">
        <v>739</v>
      </c>
      <c r="L116" s="546">
        <v>0</v>
      </c>
      <c r="M116" s="545" t="s">
        <v>389</v>
      </c>
      <c r="N116" s="545" t="s">
        <v>394</v>
      </c>
    </row>
    <row r="117" spans="2:14" x14ac:dyDescent="0.2">
      <c r="B117" s="545" t="s">
        <v>584</v>
      </c>
      <c r="C117" s="661">
        <v>12</v>
      </c>
      <c r="D117" s="778" t="s">
        <v>529</v>
      </c>
      <c r="E117" s="778" t="s">
        <v>739</v>
      </c>
      <c r="L117" s="546">
        <v>0</v>
      </c>
      <c r="M117" s="545" t="s">
        <v>389</v>
      </c>
      <c r="N117" s="545" t="s">
        <v>394</v>
      </c>
    </row>
    <row r="118" spans="2:14" x14ac:dyDescent="0.2">
      <c r="B118" s="545" t="s">
        <v>427</v>
      </c>
      <c r="C118" s="661">
        <v>12</v>
      </c>
      <c r="D118" s="778" t="s">
        <v>529</v>
      </c>
      <c r="E118" s="778" t="s">
        <v>739</v>
      </c>
      <c r="L118" s="546">
        <v>0</v>
      </c>
      <c r="M118" s="545" t="s">
        <v>389</v>
      </c>
      <c r="N118" s="545" t="s">
        <v>394</v>
      </c>
    </row>
    <row r="119" spans="2:14" x14ac:dyDescent="0.2">
      <c r="B119" s="572" t="s">
        <v>428</v>
      </c>
      <c r="C119" s="661">
        <f>C112</f>
        <v>0</v>
      </c>
      <c r="D119" s="778" t="s">
        <v>529</v>
      </c>
      <c r="E119" s="778" t="s">
        <v>739</v>
      </c>
      <c r="K119" s="544">
        <v>5</v>
      </c>
      <c r="L119" s="546">
        <v>0</v>
      </c>
      <c r="M119" s="545" t="s">
        <v>389</v>
      </c>
      <c r="N119" s="545" t="s">
        <v>395</v>
      </c>
    </row>
    <row r="120" spans="2:14" x14ac:dyDescent="0.2">
      <c r="B120" s="572" t="s">
        <v>714</v>
      </c>
      <c r="C120" s="661">
        <f>C114</f>
        <v>0</v>
      </c>
      <c r="D120" s="778" t="s">
        <v>529</v>
      </c>
      <c r="E120" s="778" t="s">
        <v>739</v>
      </c>
      <c r="K120" s="544">
        <v>5</v>
      </c>
      <c r="L120" s="546">
        <v>0</v>
      </c>
      <c r="M120" s="545" t="s">
        <v>389</v>
      </c>
      <c r="N120" s="545" t="s">
        <v>395</v>
      </c>
    </row>
    <row r="121" spans="2:14" x14ac:dyDescent="0.2">
      <c r="B121" s="572" t="s">
        <v>585</v>
      </c>
      <c r="C121" s="661">
        <f>C116</f>
        <v>12</v>
      </c>
      <c r="D121" s="778" t="s">
        <v>529</v>
      </c>
      <c r="E121" s="778" t="s">
        <v>739</v>
      </c>
      <c r="L121" s="546">
        <v>0</v>
      </c>
      <c r="M121" s="545" t="s">
        <v>389</v>
      </c>
      <c r="N121" s="545" t="s">
        <v>395</v>
      </c>
    </row>
    <row r="122" spans="2:14" x14ac:dyDescent="0.2">
      <c r="B122" s="572" t="s">
        <v>429</v>
      </c>
      <c r="C122" s="661">
        <f>C117</f>
        <v>12</v>
      </c>
      <c r="D122" s="778" t="s">
        <v>529</v>
      </c>
      <c r="E122" s="778" t="s">
        <v>739</v>
      </c>
      <c r="L122" s="546">
        <v>0</v>
      </c>
      <c r="M122" s="545" t="s">
        <v>389</v>
      </c>
      <c r="N122" s="545" t="s">
        <v>395</v>
      </c>
    </row>
    <row r="123" spans="2:14" x14ac:dyDescent="0.2">
      <c r="B123" s="572" t="s">
        <v>430</v>
      </c>
      <c r="C123" s="661">
        <f>C118</f>
        <v>12</v>
      </c>
      <c r="D123" s="778" t="s">
        <v>529</v>
      </c>
      <c r="E123" s="778" t="s">
        <v>739</v>
      </c>
      <c r="L123" s="546">
        <v>0</v>
      </c>
      <c r="M123" s="545" t="s">
        <v>389</v>
      </c>
      <c r="N123" s="545" t="s">
        <v>395</v>
      </c>
    </row>
    <row r="124" spans="2:14" x14ac:dyDescent="0.2">
      <c r="B124" s="545" t="s">
        <v>425</v>
      </c>
      <c r="C124" s="661">
        <v>2</v>
      </c>
      <c r="D124" s="778" t="s">
        <v>529</v>
      </c>
      <c r="E124" s="778" t="s">
        <v>740</v>
      </c>
      <c r="L124" s="546">
        <v>0</v>
      </c>
      <c r="M124" s="545" t="s">
        <v>389</v>
      </c>
      <c r="N124" s="545" t="s">
        <v>394</v>
      </c>
    </row>
    <row r="125" spans="2:14" x14ac:dyDescent="0.2">
      <c r="B125" s="778" t="s">
        <v>749</v>
      </c>
      <c r="C125" s="661">
        <v>2</v>
      </c>
      <c r="D125" s="778" t="s">
        <v>529</v>
      </c>
      <c r="E125" s="778" t="s">
        <v>740</v>
      </c>
    </row>
    <row r="126" spans="2:14" x14ac:dyDescent="0.2">
      <c r="B126" s="545" t="s">
        <v>713</v>
      </c>
      <c r="C126" s="661">
        <v>0</v>
      </c>
      <c r="D126" s="778" t="s">
        <v>529</v>
      </c>
      <c r="E126" s="778" t="s">
        <v>740</v>
      </c>
      <c r="L126" s="546">
        <v>0</v>
      </c>
      <c r="M126" s="545" t="s">
        <v>389</v>
      </c>
      <c r="N126" s="545" t="s">
        <v>394</v>
      </c>
    </row>
    <row r="127" spans="2:14" x14ac:dyDescent="0.2">
      <c r="B127" s="778" t="s">
        <v>518</v>
      </c>
      <c r="C127" s="661">
        <v>0</v>
      </c>
      <c r="D127" s="779" t="s">
        <v>530</v>
      </c>
      <c r="E127" s="778" t="s">
        <v>740</v>
      </c>
      <c r="L127" s="546">
        <v>0</v>
      </c>
      <c r="M127" s="545" t="s">
        <v>389</v>
      </c>
      <c r="N127" s="545" t="s">
        <v>393</v>
      </c>
    </row>
    <row r="128" spans="2:14" x14ac:dyDescent="0.2">
      <c r="B128" s="545" t="s">
        <v>583</v>
      </c>
      <c r="C128" s="661">
        <v>12</v>
      </c>
      <c r="D128" s="778" t="s">
        <v>529</v>
      </c>
      <c r="E128" s="778" t="s">
        <v>740</v>
      </c>
      <c r="L128" s="546">
        <v>0</v>
      </c>
      <c r="M128" s="545" t="s">
        <v>389</v>
      </c>
      <c r="N128" s="545" t="s">
        <v>394</v>
      </c>
    </row>
    <row r="129" spans="2:14" x14ac:dyDescent="0.2">
      <c r="B129" s="545" t="s">
        <v>584</v>
      </c>
      <c r="C129" s="661">
        <v>12</v>
      </c>
      <c r="D129" s="778" t="s">
        <v>529</v>
      </c>
      <c r="E129" s="778" t="s">
        <v>740</v>
      </c>
      <c r="L129" s="546">
        <v>0</v>
      </c>
      <c r="M129" s="545" t="s">
        <v>389</v>
      </c>
      <c r="N129" s="545" t="s">
        <v>394</v>
      </c>
    </row>
    <row r="130" spans="2:14" x14ac:dyDescent="0.2">
      <c r="B130" s="545" t="s">
        <v>427</v>
      </c>
      <c r="C130" s="661">
        <v>12</v>
      </c>
      <c r="D130" s="778" t="s">
        <v>529</v>
      </c>
      <c r="E130" s="778" t="s">
        <v>740</v>
      </c>
      <c r="L130" s="546">
        <v>0</v>
      </c>
      <c r="M130" s="545" t="s">
        <v>389</v>
      </c>
      <c r="N130" s="545" t="s">
        <v>394</v>
      </c>
    </row>
    <row r="131" spans="2:14" x14ac:dyDescent="0.2">
      <c r="B131" s="572" t="s">
        <v>428</v>
      </c>
      <c r="C131" s="661">
        <f>C124</f>
        <v>2</v>
      </c>
      <c r="D131" s="778" t="s">
        <v>529</v>
      </c>
      <c r="E131" s="778" t="s">
        <v>740</v>
      </c>
      <c r="K131" s="544">
        <v>5</v>
      </c>
      <c r="L131" s="546">
        <v>0</v>
      </c>
      <c r="M131" s="545" t="s">
        <v>389</v>
      </c>
      <c r="N131" s="545" t="s">
        <v>395</v>
      </c>
    </row>
    <row r="132" spans="2:14" x14ac:dyDescent="0.2">
      <c r="B132" s="572" t="s">
        <v>714</v>
      </c>
      <c r="C132" s="661">
        <f>C126</f>
        <v>0</v>
      </c>
      <c r="D132" s="778" t="s">
        <v>529</v>
      </c>
      <c r="E132" s="778" t="s">
        <v>740</v>
      </c>
      <c r="K132" s="544">
        <v>5</v>
      </c>
      <c r="L132" s="546">
        <v>0</v>
      </c>
      <c r="M132" s="545" t="s">
        <v>389</v>
      </c>
      <c r="N132" s="545" t="s">
        <v>395</v>
      </c>
    </row>
    <row r="133" spans="2:14" x14ac:dyDescent="0.2">
      <c r="B133" s="572" t="s">
        <v>585</v>
      </c>
      <c r="C133" s="661">
        <f>C128</f>
        <v>12</v>
      </c>
      <c r="D133" s="778" t="s">
        <v>529</v>
      </c>
      <c r="E133" s="778" t="s">
        <v>740</v>
      </c>
      <c r="L133" s="546">
        <v>0</v>
      </c>
      <c r="M133" s="545" t="s">
        <v>389</v>
      </c>
      <c r="N133" s="545" t="s">
        <v>395</v>
      </c>
    </row>
    <row r="134" spans="2:14" x14ac:dyDescent="0.2">
      <c r="B134" s="572" t="s">
        <v>429</v>
      </c>
      <c r="C134" s="661">
        <f>C129</f>
        <v>12</v>
      </c>
      <c r="D134" s="778" t="s">
        <v>529</v>
      </c>
      <c r="E134" s="778" t="s">
        <v>740</v>
      </c>
      <c r="L134" s="546">
        <v>0</v>
      </c>
      <c r="M134" s="545" t="s">
        <v>389</v>
      </c>
      <c r="N134" s="545" t="s">
        <v>395</v>
      </c>
    </row>
    <row r="135" spans="2:14" x14ac:dyDescent="0.2">
      <c r="B135" s="572" t="s">
        <v>430</v>
      </c>
      <c r="C135" s="661">
        <f>C130</f>
        <v>12</v>
      </c>
      <c r="D135" s="778" t="s">
        <v>529</v>
      </c>
      <c r="E135" s="778" t="s">
        <v>740</v>
      </c>
      <c r="L135" s="546">
        <v>0</v>
      </c>
      <c r="M135" s="545" t="s">
        <v>389</v>
      </c>
      <c r="N135" s="545" t="s">
        <v>395</v>
      </c>
    </row>
    <row r="136" spans="2:14" x14ac:dyDescent="0.2">
      <c r="B136" s="545" t="s">
        <v>425</v>
      </c>
      <c r="C136" s="661">
        <v>0</v>
      </c>
      <c r="D136" s="778" t="s">
        <v>529</v>
      </c>
      <c r="E136" s="778" t="s">
        <v>553</v>
      </c>
      <c r="L136" s="546">
        <v>0</v>
      </c>
      <c r="M136" s="545" t="s">
        <v>389</v>
      </c>
      <c r="N136" s="545" t="s">
        <v>396</v>
      </c>
    </row>
    <row r="137" spans="2:14" x14ac:dyDescent="0.2">
      <c r="B137" s="778" t="s">
        <v>749</v>
      </c>
      <c r="C137" s="661">
        <v>0</v>
      </c>
      <c r="D137" s="778" t="s">
        <v>529</v>
      </c>
      <c r="E137" s="778" t="s">
        <v>553</v>
      </c>
    </row>
    <row r="138" spans="2:14" x14ac:dyDescent="0.2">
      <c r="B138" s="545" t="s">
        <v>713</v>
      </c>
      <c r="C138" s="661">
        <v>0</v>
      </c>
      <c r="D138" s="778" t="s">
        <v>529</v>
      </c>
      <c r="E138" s="778" t="s">
        <v>553</v>
      </c>
      <c r="L138" s="546">
        <v>0</v>
      </c>
      <c r="M138" s="545" t="s">
        <v>389</v>
      </c>
      <c r="N138" s="545" t="s">
        <v>396</v>
      </c>
    </row>
    <row r="139" spans="2:14" x14ac:dyDescent="0.2">
      <c r="B139" s="778" t="s">
        <v>518</v>
      </c>
      <c r="C139" s="661">
        <v>0</v>
      </c>
      <c r="D139" s="779" t="s">
        <v>530</v>
      </c>
      <c r="E139" s="778" t="s">
        <v>553</v>
      </c>
      <c r="L139" s="546">
        <v>0</v>
      </c>
      <c r="M139" s="545" t="s">
        <v>389</v>
      </c>
      <c r="N139" s="545" t="s">
        <v>393</v>
      </c>
    </row>
    <row r="140" spans="2:14" x14ac:dyDescent="0.2">
      <c r="B140" s="545" t="s">
        <v>583</v>
      </c>
      <c r="C140" s="661">
        <v>10</v>
      </c>
      <c r="D140" s="778" t="s">
        <v>529</v>
      </c>
      <c r="E140" s="778" t="s">
        <v>553</v>
      </c>
      <c r="L140" s="546">
        <v>0</v>
      </c>
      <c r="M140" s="545" t="s">
        <v>389</v>
      </c>
      <c r="N140" s="545" t="s">
        <v>396</v>
      </c>
    </row>
    <row r="141" spans="2:14" x14ac:dyDescent="0.2">
      <c r="B141" s="545" t="s">
        <v>584</v>
      </c>
      <c r="C141" s="661">
        <v>10</v>
      </c>
      <c r="D141" s="778" t="s">
        <v>529</v>
      </c>
      <c r="E141" s="778" t="s">
        <v>553</v>
      </c>
      <c r="L141" s="546">
        <v>0</v>
      </c>
      <c r="M141" s="545" t="s">
        <v>389</v>
      </c>
      <c r="N141" s="545" t="s">
        <v>396</v>
      </c>
    </row>
    <row r="142" spans="2:14" x14ac:dyDescent="0.2">
      <c r="B142" s="545" t="s">
        <v>427</v>
      </c>
      <c r="C142" s="661">
        <v>10</v>
      </c>
      <c r="D142" s="778" t="s">
        <v>529</v>
      </c>
      <c r="E142" s="778" t="s">
        <v>553</v>
      </c>
      <c r="L142" s="546">
        <v>0</v>
      </c>
      <c r="M142" s="545" t="s">
        <v>389</v>
      </c>
      <c r="N142" s="545" t="s">
        <v>396</v>
      </c>
    </row>
    <row r="143" spans="2:14" x14ac:dyDescent="0.2">
      <c r="B143" s="572" t="s">
        <v>428</v>
      </c>
      <c r="C143" s="661">
        <f>C136</f>
        <v>0</v>
      </c>
      <c r="D143" s="778" t="s">
        <v>529</v>
      </c>
      <c r="E143" s="778" t="s">
        <v>553</v>
      </c>
      <c r="K143" s="544">
        <v>7</v>
      </c>
      <c r="L143" s="546">
        <v>0</v>
      </c>
      <c r="M143" s="545" t="s">
        <v>389</v>
      </c>
      <c r="N143" s="545" t="s">
        <v>397</v>
      </c>
    </row>
    <row r="144" spans="2:14" x14ac:dyDescent="0.2">
      <c r="B144" s="572" t="s">
        <v>714</v>
      </c>
      <c r="C144" s="661">
        <f>C138</f>
        <v>0</v>
      </c>
      <c r="D144" s="778" t="s">
        <v>529</v>
      </c>
      <c r="E144" s="778" t="s">
        <v>553</v>
      </c>
      <c r="K144" s="544">
        <v>7</v>
      </c>
      <c r="L144" s="546">
        <v>0</v>
      </c>
      <c r="M144" s="545" t="s">
        <v>389</v>
      </c>
      <c r="N144" s="545" t="s">
        <v>397</v>
      </c>
    </row>
    <row r="145" spans="2:14" x14ac:dyDescent="0.2">
      <c r="B145" s="572" t="s">
        <v>585</v>
      </c>
      <c r="C145" s="661">
        <f>C140</f>
        <v>10</v>
      </c>
      <c r="D145" s="778" t="s">
        <v>529</v>
      </c>
      <c r="E145" s="778" t="s">
        <v>553</v>
      </c>
      <c r="L145" s="546">
        <v>0</v>
      </c>
      <c r="M145" s="545" t="s">
        <v>389</v>
      </c>
      <c r="N145" s="545" t="s">
        <v>397</v>
      </c>
    </row>
    <row r="146" spans="2:14" x14ac:dyDescent="0.2">
      <c r="B146" s="572" t="s">
        <v>429</v>
      </c>
      <c r="C146" s="661">
        <f>C141</f>
        <v>10</v>
      </c>
      <c r="D146" s="778" t="s">
        <v>529</v>
      </c>
      <c r="E146" s="778" t="s">
        <v>553</v>
      </c>
      <c r="L146" s="546">
        <v>0</v>
      </c>
      <c r="M146" s="545" t="s">
        <v>389</v>
      </c>
      <c r="N146" s="545" t="s">
        <v>397</v>
      </c>
    </row>
    <row r="147" spans="2:14" x14ac:dyDescent="0.2">
      <c r="B147" s="572" t="s">
        <v>430</v>
      </c>
      <c r="C147" s="661">
        <f>C142</f>
        <v>10</v>
      </c>
      <c r="D147" s="778" t="s">
        <v>529</v>
      </c>
      <c r="E147" s="778" t="s">
        <v>553</v>
      </c>
      <c r="L147" s="546">
        <v>0</v>
      </c>
      <c r="M147" s="545" t="s">
        <v>389</v>
      </c>
      <c r="N147" s="545" t="s">
        <v>397</v>
      </c>
    </row>
    <row r="148" spans="2:14" x14ac:dyDescent="0.2">
      <c r="B148" s="545" t="s">
        <v>425</v>
      </c>
      <c r="C148" s="661">
        <v>5</v>
      </c>
      <c r="D148" s="778" t="s">
        <v>529</v>
      </c>
      <c r="E148" s="778" t="s">
        <v>555</v>
      </c>
      <c r="L148" s="546">
        <v>0</v>
      </c>
      <c r="M148" s="545" t="s">
        <v>389</v>
      </c>
      <c r="N148" s="545" t="s">
        <v>397</v>
      </c>
    </row>
    <row r="149" spans="2:14" x14ac:dyDescent="0.2">
      <c r="B149" s="778" t="s">
        <v>749</v>
      </c>
      <c r="C149" s="661">
        <v>5</v>
      </c>
      <c r="D149" s="778" t="s">
        <v>529</v>
      </c>
      <c r="E149" s="778" t="s">
        <v>555</v>
      </c>
    </row>
    <row r="150" spans="2:14" x14ac:dyDescent="0.2">
      <c r="B150" s="545" t="s">
        <v>713</v>
      </c>
      <c r="C150" s="661">
        <v>5</v>
      </c>
      <c r="D150" s="778" t="s">
        <v>529</v>
      </c>
      <c r="E150" s="778" t="s">
        <v>555</v>
      </c>
      <c r="L150" s="546">
        <v>0</v>
      </c>
      <c r="M150" s="545" t="s">
        <v>389</v>
      </c>
      <c r="N150" s="545" t="s">
        <v>397</v>
      </c>
    </row>
    <row r="151" spans="2:14" x14ac:dyDescent="0.2">
      <c r="B151" s="778" t="s">
        <v>518</v>
      </c>
      <c r="C151" s="661">
        <v>0</v>
      </c>
      <c r="D151" s="779" t="s">
        <v>530</v>
      </c>
      <c r="E151" s="778" t="s">
        <v>555</v>
      </c>
      <c r="L151" s="546">
        <v>0</v>
      </c>
      <c r="M151" s="545" t="s">
        <v>389</v>
      </c>
      <c r="N151" s="545" t="s">
        <v>393</v>
      </c>
    </row>
    <row r="152" spans="2:14" x14ac:dyDescent="0.2">
      <c r="B152" s="545" t="s">
        <v>583</v>
      </c>
      <c r="C152" s="661">
        <v>10</v>
      </c>
      <c r="D152" s="778" t="s">
        <v>529</v>
      </c>
      <c r="E152" s="778" t="s">
        <v>555</v>
      </c>
      <c r="L152" s="546">
        <v>0</v>
      </c>
      <c r="M152" s="545" t="s">
        <v>389</v>
      </c>
      <c r="N152" s="545" t="s">
        <v>397</v>
      </c>
    </row>
    <row r="153" spans="2:14" x14ac:dyDescent="0.2">
      <c r="B153" s="545" t="s">
        <v>584</v>
      </c>
      <c r="C153" s="661">
        <v>10</v>
      </c>
      <c r="D153" s="778" t="s">
        <v>529</v>
      </c>
      <c r="E153" s="778" t="s">
        <v>555</v>
      </c>
      <c r="L153" s="546">
        <v>0</v>
      </c>
      <c r="M153" s="545" t="s">
        <v>389</v>
      </c>
      <c r="N153" s="545" t="s">
        <v>397</v>
      </c>
    </row>
    <row r="154" spans="2:14" x14ac:dyDescent="0.2">
      <c r="B154" s="545" t="s">
        <v>427</v>
      </c>
      <c r="C154" s="661">
        <v>10</v>
      </c>
      <c r="D154" s="778" t="s">
        <v>529</v>
      </c>
      <c r="E154" s="778" t="s">
        <v>555</v>
      </c>
      <c r="L154" s="546">
        <v>0</v>
      </c>
      <c r="M154" s="545" t="s">
        <v>389</v>
      </c>
      <c r="N154" s="545" t="s">
        <v>397</v>
      </c>
    </row>
    <row r="155" spans="2:14" x14ac:dyDescent="0.2">
      <c r="B155" s="572" t="s">
        <v>428</v>
      </c>
      <c r="C155" s="661">
        <f>C148</f>
        <v>5</v>
      </c>
      <c r="D155" s="778" t="s">
        <v>529</v>
      </c>
      <c r="E155" s="778" t="s">
        <v>555</v>
      </c>
      <c r="K155" s="544">
        <v>8</v>
      </c>
      <c r="L155" s="546">
        <v>0</v>
      </c>
      <c r="M155" s="545" t="s">
        <v>389</v>
      </c>
      <c r="N155" s="545" t="s">
        <v>398</v>
      </c>
    </row>
    <row r="156" spans="2:14" x14ac:dyDescent="0.2">
      <c r="B156" s="572" t="s">
        <v>714</v>
      </c>
      <c r="C156" s="661">
        <f>C150</f>
        <v>5</v>
      </c>
      <c r="D156" s="778" t="s">
        <v>529</v>
      </c>
      <c r="E156" s="778" t="s">
        <v>555</v>
      </c>
      <c r="K156" s="544">
        <v>8</v>
      </c>
      <c r="L156" s="546">
        <v>0</v>
      </c>
      <c r="M156" s="545" t="s">
        <v>389</v>
      </c>
      <c r="N156" s="545" t="s">
        <v>398</v>
      </c>
    </row>
    <row r="157" spans="2:14" x14ac:dyDescent="0.2">
      <c r="B157" s="572" t="s">
        <v>585</v>
      </c>
      <c r="C157" s="661">
        <f>C152</f>
        <v>10</v>
      </c>
      <c r="D157" s="778" t="s">
        <v>529</v>
      </c>
      <c r="E157" s="778" t="s">
        <v>555</v>
      </c>
      <c r="L157" s="546">
        <v>0</v>
      </c>
      <c r="M157" s="545" t="s">
        <v>389</v>
      </c>
      <c r="N157" s="545" t="s">
        <v>398</v>
      </c>
    </row>
    <row r="158" spans="2:14" x14ac:dyDescent="0.2">
      <c r="B158" s="572" t="s">
        <v>429</v>
      </c>
      <c r="C158" s="661">
        <f>C153</f>
        <v>10</v>
      </c>
      <c r="D158" s="778" t="s">
        <v>529</v>
      </c>
      <c r="E158" s="778" t="s">
        <v>555</v>
      </c>
      <c r="L158" s="546">
        <v>0</v>
      </c>
      <c r="M158" s="545" t="s">
        <v>389</v>
      </c>
      <c r="N158" s="545" t="s">
        <v>398</v>
      </c>
    </row>
    <row r="159" spans="2:14" x14ac:dyDescent="0.2">
      <c r="B159" s="572" t="s">
        <v>430</v>
      </c>
      <c r="C159" s="661">
        <f>C154</f>
        <v>10</v>
      </c>
      <c r="D159" s="778" t="s">
        <v>529</v>
      </c>
      <c r="E159" s="778" t="s">
        <v>555</v>
      </c>
      <c r="L159" s="546">
        <v>0</v>
      </c>
      <c r="M159" s="545" t="s">
        <v>389</v>
      </c>
      <c r="N159" s="545" t="s">
        <v>398</v>
      </c>
    </row>
    <row r="160" spans="2:14" x14ac:dyDescent="0.2">
      <c r="B160" s="545" t="s">
        <v>425</v>
      </c>
      <c r="C160" s="661">
        <v>5</v>
      </c>
      <c r="D160" s="778" t="s">
        <v>529</v>
      </c>
      <c r="E160" s="778" t="s">
        <v>554</v>
      </c>
      <c r="L160" s="546">
        <v>0</v>
      </c>
      <c r="M160" s="545" t="s">
        <v>389</v>
      </c>
      <c r="N160" s="545" t="s">
        <v>398</v>
      </c>
    </row>
    <row r="161" spans="2:14" x14ac:dyDescent="0.2">
      <c r="B161" s="778" t="s">
        <v>749</v>
      </c>
      <c r="C161" s="661">
        <v>5</v>
      </c>
      <c r="D161" s="778" t="s">
        <v>529</v>
      </c>
      <c r="E161" s="778" t="s">
        <v>554</v>
      </c>
    </row>
    <row r="162" spans="2:14" x14ac:dyDescent="0.2">
      <c r="B162" s="545" t="s">
        <v>713</v>
      </c>
      <c r="C162" s="661">
        <v>5</v>
      </c>
      <c r="D162" s="778" t="s">
        <v>529</v>
      </c>
      <c r="E162" s="778" t="s">
        <v>554</v>
      </c>
      <c r="L162" s="546">
        <v>0</v>
      </c>
      <c r="M162" s="545" t="s">
        <v>389</v>
      </c>
      <c r="N162" s="545" t="s">
        <v>398</v>
      </c>
    </row>
    <row r="163" spans="2:14" x14ac:dyDescent="0.2">
      <c r="B163" s="778" t="s">
        <v>518</v>
      </c>
      <c r="C163" s="661">
        <v>0</v>
      </c>
      <c r="D163" s="779" t="s">
        <v>530</v>
      </c>
      <c r="E163" s="778" t="s">
        <v>554</v>
      </c>
      <c r="L163" s="546">
        <v>0</v>
      </c>
      <c r="M163" s="545" t="s">
        <v>389</v>
      </c>
      <c r="N163" s="545" t="s">
        <v>393</v>
      </c>
    </row>
    <row r="164" spans="2:14" x14ac:dyDescent="0.2">
      <c r="B164" s="545" t="s">
        <v>583</v>
      </c>
      <c r="C164" s="661">
        <v>12</v>
      </c>
      <c r="D164" s="778" t="s">
        <v>529</v>
      </c>
      <c r="E164" s="778" t="s">
        <v>554</v>
      </c>
      <c r="L164" s="546">
        <v>0</v>
      </c>
      <c r="M164" s="545" t="s">
        <v>389</v>
      </c>
      <c r="N164" s="545" t="s">
        <v>398</v>
      </c>
    </row>
    <row r="165" spans="2:14" x14ac:dyDescent="0.2">
      <c r="B165" s="545" t="s">
        <v>584</v>
      </c>
      <c r="C165" s="661">
        <v>12</v>
      </c>
      <c r="D165" s="778" t="s">
        <v>529</v>
      </c>
      <c r="E165" s="778" t="s">
        <v>554</v>
      </c>
      <c r="L165" s="546">
        <v>0</v>
      </c>
      <c r="M165" s="545" t="s">
        <v>389</v>
      </c>
      <c r="N165" s="545" t="s">
        <v>398</v>
      </c>
    </row>
    <row r="166" spans="2:14" x14ac:dyDescent="0.2">
      <c r="B166" s="545" t="s">
        <v>427</v>
      </c>
      <c r="C166" s="661">
        <v>12</v>
      </c>
      <c r="D166" s="778" t="s">
        <v>529</v>
      </c>
      <c r="E166" s="778" t="s">
        <v>554</v>
      </c>
      <c r="L166" s="546">
        <v>0</v>
      </c>
      <c r="M166" s="545" t="s">
        <v>389</v>
      </c>
      <c r="N166" s="545" t="s">
        <v>398</v>
      </c>
    </row>
    <row r="167" spans="2:14" x14ac:dyDescent="0.2">
      <c r="B167" s="572" t="s">
        <v>428</v>
      </c>
      <c r="C167" s="661">
        <f>C160</f>
        <v>5</v>
      </c>
      <c r="D167" s="778" t="s">
        <v>529</v>
      </c>
      <c r="E167" s="778" t="s">
        <v>554</v>
      </c>
      <c r="K167" s="544">
        <v>9</v>
      </c>
      <c r="L167" s="546">
        <v>0</v>
      </c>
      <c r="M167" s="545" t="s">
        <v>389</v>
      </c>
      <c r="N167" s="545" t="s">
        <v>399</v>
      </c>
    </row>
    <row r="168" spans="2:14" x14ac:dyDescent="0.2">
      <c r="B168" s="572" t="s">
        <v>714</v>
      </c>
      <c r="C168" s="661">
        <f>C162</f>
        <v>5</v>
      </c>
      <c r="D168" s="778" t="s">
        <v>529</v>
      </c>
      <c r="E168" s="778" t="s">
        <v>554</v>
      </c>
      <c r="K168" s="544">
        <v>9</v>
      </c>
      <c r="L168" s="546">
        <v>0</v>
      </c>
      <c r="M168" s="545" t="s">
        <v>389</v>
      </c>
      <c r="N168" s="545" t="s">
        <v>399</v>
      </c>
    </row>
    <row r="169" spans="2:14" x14ac:dyDescent="0.2">
      <c r="B169" s="572" t="s">
        <v>585</v>
      </c>
      <c r="C169" s="661">
        <f>C164</f>
        <v>12</v>
      </c>
      <c r="D169" s="778" t="s">
        <v>529</v>
      </c>
      <c r="E169" s="778" t="s">
        <v>554</v>
      </c>
      <c r="L169" s="546">
        <v>0</v>
      </c>
      <c r="M169" s="545" t="s">
        <v>389</v>
      </c>
      <c r="N169" s="545" t="s">
        <v>399</v>
      </c>
    </row>
    <row r="170" spans="2:14" x14ac:dyDescent="0.2">
      <c r="B170" s="572" t="s">
        <v>429</v>
      </c>
      <c r="C170" s="661">
        <f>C165</f>
        <v>12</v>
      </c>
      <c r="D170" s="778" t="s">
        <v>529</v>
      </c>
      <c r="E170" s="778" t="s">
        <v>554</v>
      </c>
      <c r="L170" s="546">
        <v>0</v>
      </c>
      <c r="M170" s="545" t="s">
        <v>389</v>
      </c>
      <c r="N170" s="545" t="s">
        <v>399</v>
      </c>
    </row>
    <row r="171" spans="2:14" x14ac:dyDescent="0.2">
      <c r="B171" s="572" t="s">
        <v>430</v>
      </c>
      <c r="C171" s="661">
        <f>C166</f>
        <v>12</v>
      </c>
      <c r="D171" s="778" t="s">
        <v>529</v>
      </c>
      <c r="E171" s="778" t="s">
        <v>554</v>
      </c>
      <c r="L171" s="546">
        <v>0</v>
      </c>
      <c r="M171" s="545" t="s">
        <v>389</v>
      </c>
      <c r="N171" s="545" t="s">
        <v>399</v>
      </c>
    </row>
    <row r="172" spans="2:14" x14ac:dyDescent="0.2">
      <c r="B172" s="545" t="s">
        <v>425</v>
      </c>
      <c r="C172" s="661">
        <v>4</v>
      </c>
      <c r="D172" s="778" t="s">
        <v>529</v>
      </c>
      <c r="E172" s="778" t="s">
        <v>400</v>
      </c>
      <c r="L172" s="546">
        <v>0</v>
      </c>
      <c r="M172" s="545" t="s">
        <v>389</v>
      </c>
      <c r="N172" s="545" t="s">
        <v>399</v>
      </c>
    </row>
    <row r="173" spans="2:14" x14ac:dyDescent="0.2">
      <c r="B173" s="778" t="s">
        <v>749</v>
      </c>
      <c r="C173" s="661">
        <v>4</v>
      </c>
      <c r="D173" s="778" t="s">
        <v>529</v>
      </c>
      <c r="E173" s="778" t="s">
        <v>400</v>
      </c>
    </row>
    <row r="174" spans="2:14" x14ac:dyDescent="0.2">
      <c r="B174" s="545" t="s">
        <v>713</v>
      </c>
      <c r="C174" s="661">
        <v>2</v>
      </c>
      <c r="D174" s="778" t="s">
        <v>529</v>
      </c>
      <c r="E174" s="778" t="s">
        <v>400</v>
      </c>
      <c r="L174" s="546">
        <v>0</v>
      </c>
      <c r="M174" s="545" t="s">
        <v>389</v>
      </c>
      <c r="N174" s="545" t="s">
        <v>399</v>
      </c>
    </row>
    <row r="175" spans="2:14" x14ac:dyDescent="0.2">
      <c r="B175" s="778" t="s">
        <v>518</v>
      </c>
      <c r="C175" s="661">
        <v>0</v>
      </c>
      <c r="D175" s="779" t="s">
        <v>530</v>
      </c>
      <c r="E175" s="778" t="s">
        <v>400</v>
      </c>
      <c r="L175" s="546">
        <v>0</v>
      </c>
      <c r="M175" s="545" t="s">
        <v>389</v>
      </c>
      <c r="N175" s="545" t="s">
        <v>393</v>
      </c>
    </row>
    <row r="176" spans="2:14" x14ac:dyDescent="0.2">
      <c r="B176" s="545" t="s">
        <v>583</v>
      </c>
      <c r="C176" s="661">
        <v>14</v>
      </c>
      <c r="D176" s="778" t="s">
        <v>529</v>
      </c>
      <c r="E176" s="778" t="s">
        <v>400</v>
      </c>
      <c r="L176" s="545">
        <v>0</v>
      </c>
      <c r="M176" s="545" t="s">
        <v>389</v>
      </c>
      <c r="N176" s="545" t="s">
        <v>399</v>
      </c>
    </row>
    <row r="177" spans="2:14" x14ac:dyDescent="0.2">
      <c r="B177" s="545" t="s">
        <v>584</v>
      </c>
      <c r="C177" s="661">
        <v>14</v>
      </c>
      <c r="D177" s="778" t="s">
        <v>529</v>
      </c>
      <c r="E177" s="778" t="s">
        <v>400</v>
      </c>
      <c r="L177" s="545">
        <v>0</v>
      </c>
      <c r="M177" s="545" t="s">
        <v>389</v>
      </c>
      <c r="N177" s="545" t="s">
        <v>399</v>
      </c>
    </row>
    <row r="178" spans="2:14" x14ac:dyDescent="0.2">
      <c r="B178" s="545" t="s">
        <v>427</v>
      </c>
      <c r="C178" s="661">
        <v>14</v>
      </c>
      <c r="D178" s="778" t="s">
        <v>529</v>
      </c>
      <c r="E178" s="778" t="s">
        <v>400</v>
      </c>
      <c r="L178" s="545">
        <v>0</v>
      </c>
      <c r="M178" s="545" t="s">
        <v>389</v>
      </c>
      <c r="N178" s="545" t="s">
        <v>399</v>
      </c>
    </row>
    <row r="179" spans="2:14" x14ac:dyDescent="0.2">
      <c r="B179" s="572" t="s">
        <v>428</v>
      </c>
      <c r="C179" s="661">
        <f>C172</f>
        <v>4</v>
      </c>
      <c r="D179" s="778" t="s">
        <v>529</v>
      </c>
      <c r="E179" s="778" t="s">
        <v>400</v>
      </c>
      <c r="K179" s="544">
        <v>10</v>
      </c>
      <c r="L179" s="546">
        <v>0</v>
      </c>
      <c r="M179" s="545" t="s">
        <v>389</v>
      </c>
      <c r="N179" s="545" t="s">
        <v>400</v>
      </c>
    </row>
    <row r="180" spans="2:14" x14ac:dyDescent="0.2">
      <c r="B180" s="572" t="s">
        <v>714</v>
      </c>
      <c r="C180" s="661">
        <f>C174</f>
        <v>2</v>
      </c>
      <c r="D180" s="778" t="s">
        <v>529</v>
      </c>
      <c r="E180" s="778" t="s">
        <v>400</v>
      </c>
      <c r="K180" s="544">
        <v>10</v>
      </c>
      <c r="L180" s="546">
        <v>0</v>
      </c>
      <c r="M180" s="545" t="s">
        <v>389</v>
      </c>
      <c r="N180" s="545" t="s">
        <v>400</v>
      </c>
    </row>
    <row r="181" spans="2:14" x14ac:dyDescent="0.2">
      <c r="B181" s="572" t="s">
        <v>585</v>
      </c>
      <c r="C181" s="661">
        <f>C176</f>
        <v>14</v>
      </c>
      <c r="D181" s="778" t="s">
        <v>529</v>
      </c>
      <c r="E181" s="778" t="s">
        <v>400</v>
      </c>
      <c r="L181" s="546">
        <v>0</v>
      </c>
      <c r="M181" s="545" t="s">
        <v>389</v>
      </c>
      <c r="N181" s="545" t="s">
        <v>400</v>
      </c>
    </row>
    <row r="182" spans="2:14" x14ac:dyDescent="0.2">
      <c r="B182" s="572" t="s">
        <v>429</v>
      </c>
      <c r="C182" s="661">
        <f>C177</f>
        <v>14</v>
      </c>
      <c r="D182" s="778" t="s">
        <v>529</v>
      </c>
      <c r="E182" s="778" t="s">
        <v>400</v>
      </c>
      <c r="L182" s="546">
        <v>0</v>
      </c>
      <c r="M182" s="545" t="s">
        <v>389</v>
      </c>
      <c r="N182" s="545" t="s">
        <v>400</v>
      </c>
    </row>
    <row r="183" spans="2:14" x14ac:dyDescent="0.2">
      <c r="B183" s="572" t="s">
        <v>430</v>
      </c>
      <c r="C183" s="661">
        <f>C178</f>
        <v>14</v>
      </c>
      <c r="D183" s="778" t="s">
        <v>529</v>
      </c>
      <c r="E183" s="778" t="s">
        <v>400</v>
      </c>
      <c r="L183" s="546">
        <v>0</v>
      </c>
      <c r="M183" s="545" t="s">
        <v>389</v>
      </c>
      <c r="N183" s="545" t="s">
        <v>400</v>
      </c>
    </row>
    <row r="184" spans="2:14" x14ac:dyDescent="0.2">
      <c r="B184" s="545" t="s">
        <v>425</v>
      </c>
      <c r="C184" s="660">
        <v>8</v>
      </c>
      <c r="D184" s="778" t="s">
        <v>529</v>
      </c>
      <c r="E184" s="778" t="s">
        <v>465</v>
      </c>
      <c r="L184" s="546">
        <v>0</v>
      </c>
      <c r="M184" s="545" t="s">
        <v>389</v>
      </c>
      <c r="N184" s="545" t="s">
        <v>400</v>
      </c>
    </row>
    <row r="185" spans="2:14" x14ac:dyDescent="0.2">
      <c r="B185" s="778" t="s">
        <v>749</v>
      </c>
      <c r="C185" s="660">
        <v>8</v>
      </c>
      <c r="D185" s="778" t="s">
        <v>529</v>
      </c>
      <c r="E185" s="778" t="s">
        <v>465</v>
      </c>
    </row>
    <row r="186" spans="2:14" x14ac:dyDescent="0.2">
      <c r="B186" s="545" t="s">
        <v>713</v>
      </c>
      <c r="C186" s="660">
        <v>8</v>
      </c>
      <c r="D186" s="778" t="s">
        <v>529</v>
      </c>
      <c r="E186" s="778" t="s">
        <v>465</v>
      </c>
      <c r="L186" s="546">
        <v>0</v>
      </c>
      <c r="M186" s="545" t="s">
        <v>389</v>
      </c>
      <c r="N186" s="545" t="s">
        <v>400</v>
      </c>
    </row>
    <row r="187" spans="2:14" x14ac:dyDescent="0.2">
      <c r="B187" s="778" t="s">
        <v>518</v>
      </c>
      <c r="C187" s="661">
        <v>0</v>
      </c>
      <c r="D187" s="779" t="s">
        <v>530</v>
      </c>
      <c r="E187" s="778" t="s">
        <v>465</v>
      </c>
      <c r="L187" s="546">
        <v>0</v>
      </c>
      <c r="M187" s="545" t="s">
        <v>389</v>
      </c>
      <c r="N187" s="545" t="s">
        <v>393</v>
      </c>
    </row>
    <row r="188" spans="2:14" x14ac:dyDescent="0.2">
      <c r="B188" s="545" t="s">
        <v>583</v>
      </c>
      <c r="C188" s="660">
        <v>12</v>
      </c>
      <c r="D188" s="778" t="s">
        <v>529</v>
      </c>
      <c r="E188" s="778" t="s">
        <v>465</v>
      </c>
      <c r="L188" s="546">
        <v>0</v>
      </c>
      <c r="M188" s="545" t="s">
        <v>389</v>
      </c>
      <c r="N188" s="545" t="s">
        <v>400</v>
      </c>
    </row>
    <row r="189" spans="2:14" x14ac:dyDescent="0.2">
      <c r="B189" s="545" t="s">
        <v>584</v>
      </c>
      <c r="C189" s="660">
        <v>12</v>
      </c>
      <c r="D189" s="778" t="s">
        <v>529</v>
      </c>
      <c r="E189" s="778" t="s">
        <v>465</v>
      </c>
      <c r="L189" s="546">
        <v>0</v>
      </c>
      <c r="M189" s="545" t="s">
        <v>389</v>
      </c>
      <c r="N189" s="545" t="s">
        <v>400</v>
      </c>
    </row>
    <row r="190" spans="2:14" x14ac:dyDescent="0.2">
      <c r="B190" s="545" t="s">
        <v>427</v>
      </c>
      <c r="C190" s="660">
        <v>12</v>
      </c>
      <c r="D190" s="778" t="s">
        <v>529</v>
      </c>
      <c r="E190" s="778" t="s">
        <v>465</v>
      </c>
      <c r="L190" s="546">
        <v>0</v>
      </c>
      <c r="M190" s="545" t="s">
        <v>389</v>
      </c>
      <c r="N190" s="545" t="s">
        <v>400</v>
      </c>
    </row>
    <row r="191" spans="2:14" x14ac:dyDescent="0.2">
      <c r="B191" s="572" t="s">
        <v>428</v>
      </c>
      <c r="C191" s="660">
        <f>C184</f>
        <v>8</v>
      </c>
      <c r="D191" s="778" t="s">
        <v>529</v>
      </c>
      <c r="E191" s="778" t="s">
        <v>465</v>
      </c>
      <c r="K191" s="544">
        <v>11</v>
      </c>
      <c r="L191" s="545">
        <v>11</v>
      </c>
      <c r="M191" s="545" t="s">
        <v>389</v>
      </c>
      <c r="N191" s="545" t="s">
        <v>402</v>
      </c>
    </row>
    <row r="192" spans="2:14" x14ac:dyDescent="0.2">
      <c r="B192" s="572" t="s">
        <v>714</v>
      </c>
      <c r="C192" s="660">
        <f>C186</f>
        <v>8</v>
      </c>
      <c r="D192" s="778" t="s">
        <v>529</v>
      </c>
      <c r="E192" s="778" t="s">
        <v>465</v>
      </c>
      <c r="K192" s="544">
        <v>11</v>
      </c>
      <c r="L192" s="545">
        <v>11</v>
      </c>
      <c r="M192" s="545" t="s">
        <v>389</v>
      </c>
      <c r="N192" s="545" t="s">
        <v>402</v>
      </c>
    </row>
    <row r="193" spans="2:14" x14ac:dyDescent="0.2">
      <c r="B193" s="572" t="s">
        <v>585</v>
      </c>
      <c r="C193" s="660">
        <f>C188</f>
        <v>12</v>
      </c>
      <c r="D193" s="778" t="s">
        <v>529</v>
      </c>
      <c r="E193" s="778" t="s">
        <v>465</v>
      </c>
      <c r="L193" s="545">
        <v>10</v>
      </c>
      <c r="M193" s="545" t="s">
        <v>389</v>
      </c>
      <c r="N193" s="545" t="s">
        <v>402</v>
      </c>
    </row>
    <row r="194" spans="2:14" x14ac:dyDescent="0.2">
      <c r="B194" s="572" t="s">
        <v>429</v>
      </c>
      <c r="C194" s="660">
        <f>C189</f>
        <v>12</v>
      </c>
      <c r="D194" s="778" t="s">
        <v>529</v>
      </c>
      <c r="E194" s="778" t="s">
        <v>465</v>
      </c>
      <c r="L194" s="545">
        <v>10</v>
      </c>
      <c r="M194" s="545" t="s">
        <v>389</v>
      </c>
      <c r="N194" s="545" t="s">
        <v>402</v>
      </c>
    </row>
    <row r="195" spans="2:14" x14ac:dyDescent="0.2">
      <c r="B195" s="572" t="s">
        <v>430</v>
      </c>
      <c r="C195" s="660">
        <f>C190</f>
        <v>12</v>
      </c>
      <c r="D195" s="778" t="s">
        <v>529</v>
      </c>
      <c r="E195" s="778" t="s">
        <v>465</v>
      </c>
      <c r="L195" s="545">
        <v>11</v>
      </c>
      <c r="M195" s="545" t="s">
        <v>389</v>
      </c>
      <c r="N195" s="545" t="s">
        <v>402</v>
      </c>
    </row>
    <row r="196" spans="2:14" x14ac:dyDescent="0.2">
      <c r="B196" s="777" t="s">
        <v>515</v>
      </c>
      <c r="C196" s="543"/>
      <c r="D196" s="543"/>
      <c r="E196" s="543"/>
    </row>
    <row r="197" spans="2:14" x14ac:dyDescent="0.2">
      <c r="B197" s="545" t="s">
        <v>425</v>
      </c>
      <c r="C197" s="1233">
        <v>29</v>
      </c>
      <c r="D197" s="778" t="s">
        <v>529</v>
      </c>
      <c r="E197" s="778" t="s">
        <v>516</v>
      </c>
      <c r="L197" s="545">
        <v>11</v>
      </c>
      <c r="M197" s="545" t="s">
        <v>389</v>
      </c>
      <c r="N197" s="545" t="s">
        <v>402</v>
      </c>
    </row>
    <row r="198" spans="2:14" x14ac:dyDescent="0.2">
      <c r="B198" s="778" t="s">
        <v>749</v>
      </c>
      <c r="C198" s="1233">
        <v>28</v>
      </c>
      <c r="D198" s="778" t="s">
        <v>529</v>
      </c>
      <c r="E198" s="778" t="s">
        <v>516</v>
      </c>
    </row>
    <row r="199" spans="2:14" x14ac:dyDescent="0.2">
      <c r="B199" s="545" t="s">
        <v>713</v>
      </c>
      <c r="C199" s="1233">
        <v>33</v>
      </c>
      <c r="D199" s="778" t="s">
        <v>529</v>
      </c>
      <c r="E199" s="778" t="s">
        <v>516</v>
      </c>
      <c r="L199" s="545">
        <v>11</v>
      </c>
      <c r="M199" s="545" t="s">
        <v>389</v>
      </c>
      <c r="N199" s="545" t="s">
        <v>402</v>
      </c>
    </row>
    <row r="200" spans="2:14" x14ac:dyDescent="0.2">
      <c r="B200" s="778" t="s">
        <v>518</v>
      </c>
      <c r="C200" s="1149">
        <v>12</v>
      </c>
      <c r="D200" s="779" t="s">
        <v>530</v>
      </c>
      <c r="E200" s="778" t="s">
        <v>516</v>
      </c>
      <c r="L200" s="546">
        <v>0</v>
      </c>
      <c r="M200" s="545" t="s">
        <v>389</v>
      </c>
      <c r="N200" s="545" t="s">
        <v>393</v>
      </c>
    </row>
    <row r="201" spans="2:14" x14ac:dyDescent="0.2">
      <c r="B201" s="545" t="s">
        <v>583</v>
      </c>
      <c r="C201" s="1233">
        <v>33</v>
      </c>
      <c r="D201" s="778" t="s">
        <v>529</v>
      </c>
      <c r="E201" s="778" t="s">
        <v>516</v>
      </c>
      <c r="L201" s="545">
        <v>10</v>
      </c>
      <c r="M201" s="545" t="s">
        <v>389</v>
      </c>
      <c r="N201" s="545" t="s">
        <v>402</v>
      </c>
    </row>
    <row r="202" spans="2:14" x14ac:dyDescent="0.2">
      <c r="B202" s="545" t="s">
        <v>584</v>
      </c>
      <c r="C202" s="1233">
        <v>25</v>
      </c>
      <c r="D202" s="778" t="s">
        <v>529</v>
      </c>
      <c r="E202" s="778" t="s">
        <v>516</v>
      </c>
      <c r="L202" s="545">
        <v>10</v>
      </c>
      <c r="M202" s="545" t="s">
        <v>389</v>
      </c>
      <c r="N202" s="545" t="s">
        <v>402</v>
      </c>
    </row>
    <row r="203" spans="2:14" x14ac:dyDescent="0.2">
      <c r="B203" s="545" t="s">
        <v>427</v>
      </c>
      <c r="C203" s="1233">
        <v>25</v>
      </c>
      <c r="D203" s="778" t="s">
        <v>529</v>
      </c>
      <c r="E203" s="778" t="s">
        <v>516</v>
      </c>
      <c r="L203" s="545">
        <v>11</v>
      </c>
      <c r="M203" s="545" t="s">
        <v>389</v>
      </c>
      <c r="N203" s="545" t="s">
        <v>402</v>
      </c>
    </row>
    <row r="204" spans="2:14" x14ac:dyDescent="0.2">
      <c r="B204" s="545" t="s">
        <v>759</v>
      </c>
      <c r="C204" s="1233">
        <v>4</v>
      </c>
      <c r="D204" s="778" t="s">
        <v>529</v>
      </c>
      <c r="E204" s="778" t="s">
        <v>516</v>
      </c>
      <c r="L204" s="545">
        <v>11</v>
      </c>
      <c r="M204" s="545" t="s">
        <v>389</v>
      </c>
      <c r="N204" s="545" t="s">
        <v>402</v>
      </c>
    </row>
    <row r="205" spans="2:14" x14ac:dyDescent="0.2">
      <c r="B205" s="545" t="s">
        <v>741</v>
      </c>
      <c r="C205" s="1236">
        <v>8</v>
      </c>
      <c r="D205" s="778" t="s">
        <v>529</v>
      </c>
      <c r="E205" s="778" t="s">
        <v>516</v>
      </c>
      <c r="L205" s="545">
        <v>11</v>
      </c>
      <c r="M205" s="545" t="s">
        <v>389</v>
      </c>
      <c r="N205" s="545" t="s">
        <v>402</v>
      </c>
    </row>
    <row r="206" spans="2:14" x14ac:dyDescent="0.2">
      <c r="B206" s="572" t="s">
        <v>428</v>
      </c>
      <c r="C206" s="661">
        <f>C197</f>
        <v>29</v>
      </c>
      <c r="D206" s="778" t="s">
        <v>529</v>
      </c>
      <c r="E206" s="778" t="s">
        <v>516</v>
      </c>
      <c r="K206" s="544">
        <v>12</v>
      </c>
      <c r="L206" s="545">
        <v>15</v>
      </c>
      <c r="M206" s="545" t="s">
        <v>389</v>
      </c>
      <c r="N206" s="545" t="s">
        <v>405</v>
      </c>
    </row>
    <row r="207" spans="2:14" x14ac:dyDescent="0.2">
      <c r="B207" s="572" t="s">
        <v>714</v>
      </c>
      <c r="C207" s="661">
        <f>C199</f>
        <v>33</v>
      </c>
      <c r="D207" s="778" t="s">
        <v>529</v>
      </c>
      <c r="E207" s="778" t="s">
        <v>516</v>
      </c>
      <c r="K207" s="544">
        <v>12</v>
      </c>
      <c r="L207" s="545">
        <v>15</v>
      </c>
      <c r="M207" s="545" t="s">
        <v>389</v>
      </c>
      <c r="N207" s="545" t="s">
        <v>405</v>
      </c>
    </row>
    <row r="208" spans="2:14" x14ac:dyDescent="0.2">
      <c r="B208" s="572" t="s">
        <v>585</v>
      </c>
      <c r="C208" s="661">
        <f>C201</f>
        <v>33</v>
      </c>
      <c r="D208" s="778" t="s">
        <v>529</v>
      </c>
      <c r="E208" s="778" t="s">
        <v>516</v>
      </c>
      <c r="L208" s="545">
        <v>15</v>
      </c>
      <c r="M208" s="545" t="s">
        <v>389</v>
      </c>
      <c r="N208" s="545" t="s">
        <v>405</v>
      </c>
    </row>
    <row r="209" spans="2:14" x14ac:dyDescent="0.2">
      <c r="B209" s="572" t="s">
        <v>429</v>
      </c>
      <c r="C209" s="661">
        <f>C202</f>
        <v>25</v>
      </c>
      <c r="D209" s="778" t="s">
        <v>529</v>
      </c>
      <c r="E209" s="778" t="s">
        <v>516</v>
      </c>
      <c r="L209" s="545">
        <v>15</v>
      </c>
      <c r="M209" s="545" t="s">
        <v>389</v>
      </c>
      <c r="N209" s="545" t="s">
        <v>405</v>
      </c>
    </row>
    <row r="210" spans="2:14" x14ac:dyDescent="0.2">
      <c r="B210" s="572" t="s">
        <v>430</v>
      </c>
      <c r="C210" s="661">
        <f>C204</f>
        <v>4</v>
      </c>
      <c r="D210" s="778" t="s">
        <v>529</v>
      </c>
      <c r="E210" s="778" t="s">
        <v>516</v>
      </c>
      <c r="L210" s="545">
        <v>10</v>
      </c>
      <c r="M210" s="545" t="s">
        <v>389</v>
      </c>
      <c r="N210" s="545" t="s">
        <v>405</v>
      </c>
    </row>
    <row r="211" spans="2:14" x14ac:dyDescent="0.2">
      <c r="B211" s="545" t="s">
        <v>425</v>
      </c>
      <c r="C211" s="1239">
        <v>13</v>
      </c>
      <c r="D211" s="778" t="s">
        <v>529</v>
      </c>
      <c r="E211" s="545" t="s">
        <v>722</v>
      </c>
    </row>
    <row r="212" spans="2:14" x14ac:dyDescent="0.2">
      <c r="B212" s="778" t="s">
        <v>749</v>
      </c>
      <c r="C212" s="1239">
        <v>13</v>
      </c>
      <c r="D212" s="778" t="s">
        <v>529</v>
      </c>
      <c r="E212" s="545" t="s">
        <v>722</v>
      </c>
    </row>
    <row r="213" spans="2:14" x14ac:dyDescent="0.2">
      <c r="B213" s="545" t="s">
        <v>713</v>
      </c>
      <c r="C213" s="1239">
        <v>21</v>
      </c>
      <c r="D213" s="778" t="s">
        <v>529</v>
      </c>
      <c r="E213" s="545" t="s">
        <v>722</v>
      </c>
    </row>
    <row r="214" spans="2:14" x14ac:dyDescent="0.2">
      <c r="B214" s="778" t="s">
        <v>518</v>
      </c>
      <c r="C214" s="661">
        <v>14</v>
      </c>
      <c r="D214" s="779" t="s">
        <v>530</v>
      </c>
      <c r="E214" s="545" t="s">
        <v>722</v>
      </c>
      <c r="L214" s="546">
        <v>0</v>
      </c>
      <c r="M214" s="545" t="s">
        <v>389</v>
      </c>
      <c r="N214" s="545" t="s">
        <v>393</v>
      </c>
    </row>
    <row r="215" spans="2:14" x14ac:dyDescent="0.2">
      <c r="B215" s="545" t="s">
        <v>583</v>
      </c>
      <c r="C215" s="545">
        <v>22</v>
      </c>
      <c r="D215" s="778" t="s">
        <v>529</v>
      </c>
      <c r="E215" s="545" t="s">
        <v>722</v>
      </c>
      <c r="K215" s="544">
        <v>1</v>
      </c>
      <c r="M215" s="544" t="s">
        <v>437</v>
      </c>
    </row>
    <row r="216" spans="2:14" x14ac:dyDescent="0.2">
      <c r="B216" s="545" t="s">
        <v>584</v>
      </c>
      <c r="C216" s="545">
        <v>16</v>
      </c>
      <c r="D216" s="778" t="s">
        <v>529</v>
      </c>
      <c r="E216" s="545" t="s">
        <v>722</v>
      </c>
      <c r="K216" s="544">
        <v>1</v>
      </c>
      <c r="M216" s="544" t="s">
        <v>437</v>
      </c>
    </row>
    <row r="217" spans="2:14" x14ac:dyDescent="0.2">
      <c r="B217" s="545" t="s">
        <v>427</v>
      </c>
      <c r="C217" s="545">
        <v>15</v>
      </c>
      <c r="D217" s="778" t="s">
        <v>529</v>
      </c>
      <c r="E217" s="545" t="s">
        <v>722</v>
      </c>
      <c r="K217" s="544">
        <f>K216+1</f>
        <v>2</v>
      </c>
      <c r="L217" s="545">
        <v>5</v>
      </c>
      <c r="M217" s="598" t="s">
        <v>389</v>
      </c>
      <c r="N217" s="598" t="s">
        <v>390</v>
      </c>
    </row>
    <row r="218" spans="2:14" x14ac:dyDescent="0.2">
      <c r="B218" s="545" t="s">
        <v>741</v>
      </c>
      <c r="C218" s="545">
        <v>4</v>
      </c>
      <c r="D218" s="778" t="s">
        <v>529</v>
      </c>
      <c r="E218" s="545" t="s">
        <v>722</v>
      </c>
      <c r="K218" s="544">
        <f>K217+1</f>
        <v>3</v>
      </c>
      <c r="L218" s="545">
        <v>5</v>
      </c>
      <c r="M218" s="598" t="s">
        <v>389</v>
      </c>
      <c r="N218" s="598" t="s">
        <v>390</v>
      </c>
    </row>
    <row r="219" spans="2:14" x14ac:dyDescent="0.2">
      <c r="B219" s="572" t="s">
        <v>428</v>
      </c>
      <c r="C219" s="545">
        <f>C211</f>
        <v>13</v>
      </c>
      <c r="D219" s="778" t="s">
        <v>529</v>
      </c>
      <c r="E219" s="545" t="s">
        <v>722</v>
      </c>
      <c r="K219" s="544">
        <f>K217+1</f>
        <v>3</v>
      </c>
      <c r="L219" s="545">
        <v>0</v>
      </c>
      <c r="M219" s="598" t="s">
        <v>389</v>
      </c>
      <c r="N219" s="598" t="s">
        <v>392</v>
      </c>
    </row>
    <row r="220" spans="2:14" x14ac:dyDescent="0.2">
      <c r="B220" s="572" t="s">
        <v>714</v>
      </c>
      <c r="C220" s="545">
        <f>C213</f>
        <v>21</v>
      </c>
      <c r="D220" s="778" t="s">
        <v>529</v>
      </c>
      <c r="E220" s="545" t="s">
        <v>722</v>
      </c>
      <c r="K220" s="544">
        <f>K219+1</f>
        <v>4</v>
      </c>
      <c r="L220" s="545">
        <v>0</v>
      </c>
      <c r="M220" s="598" t="s">
        <v>389</v>
      </c>
      <c r="N220" s="598" t="s">
        <v>392</v>
      </c>
    </row>
    <row r="221" spans="2:14" x14ac:dyDescent="0.2">
      <c r="B221" s="572" t="s">
        <v>585</v>
      </c>
      <c r="C221" s="545">
        <f>C215</f>
        <v>22</v>
      </c>
      <c r="D221" s="778" t="s">
        <v>529</v>
      </c>
      <c r="E221" s="545" t="s">
        <v>722</v>
      </c>
      <c r="K221" s="544">
        <f>K217+1</f>
        <v>3</v>
      </c>
      <c r="L221" s="546">
        <v>0</v>
      </c>
      <c r="M221" s="598" t="s">
        <v>389</v>
      </c>
      <c r="N221" s="598" t="s">
        <v>393</v>
      </c>
    </row>
    <row r="222" spans="2:14" x14ac:dyDescent="0.2">
      <c r="B222" s="572" t="s">
        <v>429</v>
      </c>
      <c r="C222" s="545">
        <f>C216</f>
        <v>16</v>
      </c>
      <c r="D222" s="778" t="s">
        <v>529</v>
      </c>
      <c r="E222" s="545" t="s">
        <v>722</v>
      </c>
      <c r="K222" s="544">
        <f>K219+1</f>
        <v>4</v>
      </c>
      <c r="L222" s="546">
        <v>0</v>
      </c>
      <c r="M222" s="598" t="s">
        <v>389</v>
      </c>
      <c r="N222" s="598" t="s">
        <v>393</v>
      </c>
    </row>
    <row r="223" spans="2:14" x14ac:dyDescent="0.2">
      <c r="B223" s="572" t="s">
        <v>430</v>
      </c>
      <c r="C223" s="545">
        <f>C217</f>
        <v>15</v>
      </c>
      <c r="D223" s="778" t="s">
        <v>529</v>
      </c>
      <c r="E223" s="545" t="s">
        <v>722</v>
      </c>
      <c r="K223" s="544">
        <f t="shared" ref="K223:K262" si="0">K222+1</f>
        <v>5</v>
      </c>
      <c r="L223" s="546">
        <v>0</v>
      </c>
      <c r="M223" s="598" t="s">
        <v>389</v>
      </c>
      <c r="N223" s="598" t="s">
        <v>394</v>
      </c>
    </row>
    <row r="224" spans="2:14" x14ac:dyDescent="0.2">
      <c r="B224" s="545" t="s">
        <v>425</v>
      </c>
      <c r="C224" s="1239">
        <v>16</v>
      </c>
      <c r="D224" s="778" t="s">
        <v>529</v>
      </c>
      <c r="E224" s="545" t="s">
        <v>371</v>
      </c>
    </row>
    <row r="225" spans="2:14" x14ac:dyDescent="0.2">
      <c r="B225" s="778" t="s">
        <v>749</v>
      </c>
      <c r="C225" s="1239">
        <v>22</v>
      </c>
      <c r="D225" s="778" t="s">
        <v>529</v>
      </c>
      <c r="E225" s="545" t="s">
        <v>371</v>
      </c>
    </row>
    <row r="226" spans="2:14" x14ac:dyDescent="0.2">
      <c r="B226" s="545" t="s">
        <v>713</v>
      </c>
      <c r="C226" s="1239">
        <v>21</v>
      </c>
      <c r="D226" s="778" t="s">
        <v>529</v>
      </c>
      <c r="E226" s="545" t="s">
        <v>371</v>
      </c>
    </row>
    <row r="227" spans="2:14" x14ac:dyDescent="0.2">
      <c r="B227" s="778" t="s">
        <v>518</v>
      </c>
      <c r="C227" s="661">
        <v>14</v>
      </c>
      <c r="D227" s="779" t="s">
        <v>530</v>
      </c>
      <c r="E227" s="545" t="s">
        <v>371</v>
      </c>
      <c r="L227" s="546">
        <v>0</v>
      </c>
      <c r="M227" s="545" t="s">
        <v>389</v>
      </c>
      <c r="N227" s="545" t="s">
        <v>393</v>
      </c>
    </row>
    <row r="228" spans="2:14" x14ac:dyDescent="0.2">
      <c r="B228" s="545" t="s">
        <v>583</v>
      </c>
      <c r="C228" s="545">
        <v>22</v>
      </c>
      <c r="D228" s="778" t="s">
        <v>529</v>
      </c>
      <c r="E228" s="545" t="s">
        <v>371</v>
      </c>
      <c r="K228" s="544">
        <v>1</v>
      </c>
      <c r="M228" s="544" t="s">
        <v>437</v>
      </c>
    </row>
    <row r="229" spans="2:14" x14ac:dyDescent="0.2">
      <c r="B229" s="545" t="s">
        <v>584</v>
      </c>
      <c r="C229" s="545">
        <v>16</v>
      </c>
      <c r="D229" s="778" t="s">
        <v>529</v>
      </c>
      <c r="E229" s="545" t="s">
        <v>371</v>
      </c>
      <c r="K229" s="544">
        <v>1</v>
      </c>
      <c r="M229" s="544" t="s">
        <v>437</v>
      </c>
    </row>
    <row r="230" spans="2:14" x14ac:dyDescent="0.2">
      <c r="B230" s="545" t="s">
        <v>427</v>
      </c>
      <c r="C230" s="545">
        <v>15</v>
      </c>
      <c r="D230" s="778" t="s">
        <v>529</v>
      </c>
      <c r="E230" s="545" t="s">
        <v>371</v>
      </c>
      <c r="K230" s="544">
        <f>K229+1</f>
        <v>2</v>
      </c>
      <c r="L230" s="545">
        <v>5</v>
      </c>
      <c r="M230" s="598" t="s">
        <v>389</v>
      </c>
      <c r="N230" s="598" t="s">
        <v>390</v>
      </c>
    </row>
    <row r="231" spans="2:14" x14ac:dyDescent="0.2">
      <c r="B231" s="545" t="s">
        <v>741</v>
      </c>
      <c r="C231" s="545">
        <v>4</v>
      </c>
      <c r="D231" s="778" t="s">
        <v>529</v>
      </c>
      <c r="E231" s="545" t="s">
        <v>371</v>
      </c>
      <c r="K231" s="544">
        <f>K230+1</f>
        <v>3</v>
      </c>
      <c r="L231" s="545">
        <v>5</v>
      </c>
      <c r="M231" s="598" t="s">
        <v>389</v>
      </c>
      <c r="N231" s="598" t="s">
        <v>390</v>
      </c>
    </row>
    <row r="232" spans="2:14" x14ac:dyDescent="0.2">
      <c r="B232" s="572" t="s">
        <v>428</v>
      </c>
      <c r="C232" s="545">
        <f>C224</f>
        <v>16</v>
      </c>
      <c r="D232" s="778" t="s">
        <v>529</v>
      </c>
      <c r="E232" s="545" t="s">
        <v>371</v>
      </c>
      <c r="K232" s="544">
        <f>K230+1</f>
        <v>3</v>
      </c>
      <c r="L232" s="545">
        <v>0</v>
      </c>
      <c r="M232" s="598" t="s">
        <v>389</v>
      </c>
      <c r="N232" s="598" t="s">
        <v>392</v>
      </c>
    </row>
    <row r="233" spans="2:14" x14ac:dyDescent="0.2">
      <c r="B233" s="572" t="s">
        <v>714</v>
      </c>
      <c r="C233" s="545">
        <f>C226</f>
        <v>21</v>
      </c>
      <c r="D233" s="778" t="s">
        <v>529</v>
      </c>
      <c r="E233" s="545" t="s">
        <v>371</v>
      </c>
      <c r="K233" s="544">
        <f>K232+1</f>
        <v>4</v>
      </c>
      <c r="L233" s="545">
        <v>0</v>
      </c>
      <c r="M233" s="598" t="s">
        <v>389</v>
      </c>
      <c r="N233" s="598" t="s">
        <v>392</v>
      </c>
    </row>
    <row r="234" spans="2:14" x14ac:dyDescent="0.2">
      <c r="B234" s="572" t="s">
        <v>585</v>
      </c>
      <c r="C234" s="545">
        <f>C228</f>
        <v>22</v>
      </c>
      <c r="D234" s="778" t="s">
        <v>529</v>
      </c>
      <c r="E234" s="545" t="s">
        <v>371</v>
      </c>
      <c r="K234" s="544">
        <f>K230+1</f>
        <v>3</v>
      </c>
      <c r="L234" s="546">
        <v>0</v>
      </c>
      <c r="M234" s="598" t="s">
        <v>389</v>
      </c>
      <c r="N234" s="598" t="s">
        <v>393</v>
      </c>
    </row>
    <row r="235" spans="2:14" x14ac:dyDescent="0.2">
      <c r="B235" s="572" t="s">
        <v>429</v>
      </c>
      <c r="C235" s="545">
        <f>C229</f>
        <v>16</v>
      </c>
      <c r="D235" s="778" t="s">
        <v>529</v>
      </c>
      <c r="E235" s="545" t="s">
        <v>371</v>
      </c>
      <c r="K235" s="544">
        <f>K232+1</f>
        <v>4</v>
      </c>
      <c r="L235" s="546">
        <v>0</v>
      </c>
      <c r="M235" s="598" t="s">
        <v>389</v>
      </c>
      <c r="N235" s="598" t="s">
        <v>393</v>
      </c>
    </row>
    <row r="236" spans="2:14" x14ac:dyDescent="0.2">
      <c r="B236" s="572" t="s">
        <v>430</v>
      </c>
      <c r="C236" s="545">
        <f>C230</f>
        <v>15</v>
      </c>
      <c r="D236" s="778" t="s">
        <v>529</v>
      </c>
      <c r="E236" s="545" t="s">
        <v>371</v>
      </c>
      <c r="K236" s="544">
        <f t="shared" si="0"/>
        <v>5</v>
      </c>
      <c r="L236" s="546">
        <v>0</v>
      </c>
      <c r="M236" s="598" t="s">
        <v>389</v>
      </c>
      <c r="N236" s="598" t="s">
        <v>394</v>
      </c>
    </row>
    <row r="237" spans="2:14" x14ac:dyDescent="0.2">
      <c r="B237" s="545" t="s">
        <v>425</v>
      </c>
      <c r="C237" s="1239">
        <v>13</v>
      </c>
      <c r="D237" s="778" t="s">
        <v>529</v>
      </c>
      <c r="E237" s="545" t="s">
        <v>370</v>
      </c>
    </row>
    <row r="238" spans="2:14" x14ac:dyDescent="0.2">
      <c r="B238" s="778" t="s">
        <v>749</v>
      </c>
      <c r="C238" s="1239">
        <v>13</v>
      </c>
      <c r="D238" s="778" t="s">
        <v>529</v>
      </c>
      <c r="E238" s="545" t="s">
        <v>370</v>
      </c>
    </row>
    <row r="239" spans="2:14" x14ac:dyDescent="0.2">
      <c r="B239" s="545" t="s">
        <v>713</v>
      </c>
      <c r="C239" s="1239">
        <v>17</v>
      </c>
      <c r="D239" s="778" t="s">
        <v>529</v>
      </c>
      <c r="E239" s="545" t="s">
        <v>370</v>
      </c>
    </row>
    <row r="240" spans="2:14" x14ac:dyDescent="0.2">
      <c r="B240" s="778" t="s">
        <v>518</v>
      </c>
      <c r="C240" s="661">
        <v>14</v>
      </c>
      <c r="D240" s="779" t="s">
        <v>530</v>
      </c>
      <c r="E240" s="545" t="s">
        <v>370</v>
      </c>
      <c r="L240" s="546">
        <v>0</v>
      </c>
      <c r="M240" s="545" t="s">
        <v>389</v>
      </c>
      <c r="N240" s="545" t="s">
        <v>393</v>
      </c>
    </row>
    <row r="241" spans="2:14" x14ac:dyDescent="0.2">
      <c r="B241" s="545" t="s">
        <v>583</v>
      </c>
      <c r="C241" s="545">
        <v>25</v>
      </c>
      <c r="D241" s="778" t="s">
        <v>529</v>
      </c>
      <c r="E241" s="545" t="s">
        <v>370</v>
      </c>
      <c r="K241" s="544">
        <v>1</v>
      </c>
      <c r="M241" s="544" t="s">
        <v>437</v>
      </c>
    </row>
    <row r="242" spans="2:14" x14ac:dyDescent="0.2">
      <c r="B242" s="545" t="s">
        <v>584</v>
      </c>
      <c r="C242" s="545">
        <v>20</v>
      </c>
      <c r="D242" s="778" t="s">
        <v>529</v>
      </c>
      <c r="E242" s="545" t="s">
        <v>370</v>
      </c>
      <c r="K242" s="544">
        <v>1</v>
      </c>
      <c r="M242" s="544" t="s">
        <v>437</v>
      </c>
    </row>
    <row r="243" spans="2:14" x14ac:dyDescent="0.2">
      <c r="B243" s="545" t="s">
        <v>427</v>
      </c>
      <c r="C243" s="545">
        <v>19</v>
      </c>
      <c r="D243" s="778" t="s">
        <v>529</v>
      </c>
      <c r="E243" s="545" t="s">
        <v>370</v>
      </c>
      <c r="K243" s="544">
        <f>K242+1</f>
        <v>2</v>
      </c>
      <c r="L243" s="545">
        <v>5</v>
      </c>
      <c r="M243" s="598" t="s">
        <v>389</v>
      </c>
      <c r="N243" s="598" t="s">
        <v>390</v>
      </c>
    </row>
    <row r="244" spans="2:14" x14ac:dyDescent="0.2">
      <c r="B244" s="545" t="s">
        <v>741</v>
      </c>
      <c r="C244" s="545">
        <v>4</v>
      </c>
      <c r="D244" s="778" t="s">
        <v>529</v>
      </c>
      <c r="E244" s="545" t="s">
        <v>370</v>
      </c>
      <c r="K244" s="544">
        <f>K243+1</f>
        <v>3</v>
      </c>
      <c r="L244" s="545">
        <v>5</v>
      </c>
      <c r="M244" s="598" t="s">
        <v>389</v>
      </c>
      <c r="N244" s="598" t="s">
        <v>390</v>
      </c>
    </row>
    <row r="245" spans="2:14" x14ac:dyDescent="0.2">
      <c r="B245" s="572" t="s">
        <v>428</v>
      </c>
      <c r="C245" s="545">
        <f>C237</f>
        <v>13</v>
      </c>
      <c r="D245" s="778" t="s">
        <v>529</v>
      </c>
      <c r="E245" s="545" t="s">
        <v>370</v>
      </c>
      <c r="K245" s="544">
        <f>K243+1</f>
        <v>3</v>
      </c>
      <c r="L245" s="545">
        <v>0</v>
      </c>
      <c r="M245" s="598" t="s">
        <v>389</v>
      </c>
      <c r="N245" s="598" t="s">
        <v>392</v>
      </c>
    </row>
    <row r="246" spans="2:14" x14ac:dyDescent="0.2">
      <c r="B246" s="572" t="s">
        <v>714</v>
      </c>
      <c r="C246" s="545">
        <f>C239</f>
        <v>17</v>
      </c>
      <c r="D246" s="778" t="s">
        <v>529</v>
      </c>
      <c r="E246" s="545" t="s">
        <v>370</v>
      </c>
      <c r="K246" s="544">
        <f>K245+1</f>
        <v>4</v>
      </c>
      <c r="L246" s="545">
        <v>0</v>
      </c>
      <c r="M246" s="598" t="s">
        <v>389</v>
      </c>
      <c r="N246" s="598" t="s">
        <v>392</v>
      </c>
    </row>
    <row r="247" spans="2:14" x14ac:dyDescent="0.2">
      <c r="B247" s="572" t="s">
        <v>585</v>
      </c>
      <c r="C247" s="545">
        <f>C241</f>
        <v>25</v>
      </c>
      <c r="D247" s="778" t="s">
        <v>529</v>
      </c>
      <c r="E247" s="545" t="s">
        <v>370</v>
      </c>
      <c r="K247" s="544">
        <f>K243+1</f>
        <v>3</v>
      </c>
      <c r="L247" s="546">
        <v>0</v>
      </c>
      <c r="M247" s="598" t="s">
        <v>389</v>
      </c>
      <c r="N247" s="598" t="s">
        <v>393</v>
      </c>
    </row>
    <row r="248" spans="2:14" x14ac:dyDescent="0.2">
      <c r="B248" s="572" t="s">
        <v>429</v>
      </c>
      <c r="C248" s="545">
        <f>C242</f>
        <v>20</v>
      </c>
      <c r="D248" s="778" t="s">
        <v>529</v>
      </c>
      <c r="E248" s="545" t="s">
        <v>370</v>
      </c>
      <c r="K248" s="544">
        <f>K245+1</f>
        <v>4</v>
      </c>
      <c r="L248" s="546">
        <v>0</v>
      </c>
      <c r="M248" s="598" t="s">
        <v>389</v>
      </c>
      <c r="N248" s="598" t="s">
        <v>393</v>
      </c>
    </row>
    <row r="249" spans="2:14" x14ac:dyDescent="0.2">
      <c r="B249" s="572" t="s">
        <v>430</v>
      </c>
      <c r="C249" s="545">
        <f>C243</f>
        <v>19</v>
      </c>
      <c r="D249" s="778" t="s">
        <v>529</v>
      </c>
      <c r="E249" s="545" t="s">
        <v>370</v>
      </c>
      <c r="K249" s="544">
        <f t="shared" si="0"/>
        <v>5</v>
      </c>
      <c r="L249" s="546">
        <v>0</v>
      </c>
      <c r="M249" s="598" t="s">
        <v>389</v>
      </c>
      <c r="N249" s="598" t="s">
        <v>394</v>
      </c>
    </row>
    <row r="250" spans="2:14" x14ac:dyDescent="0.2">
      <c r="B250" s="545" t="s">
        <v>425</v>
      </c>
      <c r="C250" s="1239">
        <v>15</v>
      </c>
      <c r="D250" s="778" t="s">
        <v>529</v>
      </c>
      <c r="E250" s="545" t="s">
        <v>590</v>
      </c>
      <c r="K250" s="544">
        <f>K223+1</f>
        <v>6</v>
      </c>
      <c r="L250" s="546">
        <v>0</v>
      </c>
      <c r="M250" s="598" t="s">
        <v>389</v>
      </c>
      <c r="N250" s="598" t="s">
        <v>395</v>
      </c>
    </row>
    <row r="251" spans="2:14" x14ac:dyDescent="0.2">
      <c r="B251" s="778" t="s">
        <v>749</v>
      </c>
      <c r="C251" s="1239">
        <v>15</v>
      </c>
      <c r="D251" s="778" t="s">
        <v>529</v>
      </c>
      <c r="E251" s="545" t="s">
        <v>590</v>
      </c>
    </row>
    <row r="252" spans="2:14" x14ac:dyDescent="0.2">
      <c r="B252" s="545" t="s">
        <v>713</v>
      </c>
      <c r="C252" s="1239">
        <v>14</v>
      </c>
      <c r="D252" s="778" t="s">
        <v>529</v>
      </c>
      <c r="E252" s="545" t="s">
        <v>590</v>
      </c>
      <c r="K252" s="544">
        <f>K237+1</f>
        <v>1</v>
      </c>
      <c r="L252" s="546">
        <v>0</v>
      </c>
      <c r="M252" s="598" t="s">
        <v>389</v>
      </c>
      <c r="N252" s="598" t="s">
        <v>395</v>
      </c>
    </row>
    <row r="253" spans="2:14" x14ac:dyDescent="0.2">
      <c r="B253" s="778" t="s">
        <v>518</v>
      </c>
      <c r="C253" s="661">
        <v>14</v>
      </c>
      <c r="D253" s="779" t="s">
        <v>530</v>
      </c>
      <c r="E253" s="545" t="s">
        <v>590</v>
      </c>
      <c r="L253" s="546">
        <v>0</v>
      </c>
      <c r="M253" s="545" t="s">
        <v>389</v>
      </c>
      <c r="N253" s="545" t="s">
        <v>393</v>
      </c>
    </row>
    <row r="254" spans="2:14" x14ac:dyDescent="0.2">
      <c r="B254" s="545" t="s">
        <v>583</v>
      </c>
      <c r="C254" s="1239">
        <v>22</v>
      </c>
      <c r="D254" s="778" t="s">
        <v>529</v>
      </c>
      <c r="E254" s="545" t="s">
        <v>590</v>
      </c>
      <c r="K254" s="544">
        <f>K249+1</f>
        <v>6</v>
      </c>
      <c r="L254" s="546">
        <v>0</v>
      </c>
      <c r="M254" s="598" t="s">
        <v>389</v>
      </c>
      <c r="N254" s="598" t="s">
        <v>396</v>
      </c>
    </row>
    <row r="255" spans="2:14" x14ac:dyDescent="0.2">
      <c r="B255" s="545" t="s">
        <v>584</v>
      </c>
      <c r="C255" s="1239">
        <v>22</v>
      </c>
      <c r="D255" s="778" t="s">
        <v>529</v>
      </c>
      <c r="E255" s="545" t="s">
        <v>590</v>
      </c>
      <c r="K255" s="544">
        <f>K250+1</f>
        <v>7</v>
      </c>
      <c r="L255" s="546">
        <v>0</v>
      </c>
      <c r="M255" s="598" t="s">
        <v>389</v>
      </c>
      <c r="N255" s="598" t="s">
        <v>396</v>
      </c>
    </row>
    <row r="256" spans="2:14" x14ac:dyDescent="0.2">
      <c r="B256" s="545" t="s">
        <v>427</v>
      </c>
      <c r="C256" s="1239">
        <v>24</v>
      </c>
      <c r="D256" s="778" t="s">
        <v>529</v>
      </c>
      <c r="E256" s="545" t="s">
        <v>590</v>
      </c>
      <c r="K256" s="544">
        <f t="shared" si="0"/>
        <v>8</v>
      </c>
      <c r="L256" s="546">
        <v>0</v>
      </c>
      <c r="M256" s="598" t="s">
        <v>389</v>
      </c>
      <c r="N256" s="598" t="s">
        <v>397</v>
      </c>
    </row>
    <row r="257" spans="2:14" x14ac:dyDescent="0.2">
      <c r="B257" s="545" t="s">
        <v>741</v>
      </c>
      <c r="C257" s="1239">
        <v>3</v>
      </c>
      <c r="D257" s="778" t="s">
        <v>529</v>
      </c>
      <c r="E257" s="545" t="s">
        <v>590</v>
      </c>
      <c r="K257" s="544">
        <f t="shared" si="0"/>
        <v>9</v>
      </c>
      <c r="L257" s="546">
        <v>0</v>
      </c>
      <c r="M257" s="598" t="s">
        <v>389</v>
      </c>
      <c r="N257" s="598" t="s">
        <v>397</v>
      </c>
    </row>
    <row r="258" spans="2:14" x14ac:dyDescent="0.2">
      <c r="B258" s="572" t="s">
        <v>428</v>
      </c>
      <c r="C258" s="545">
        <f>C250</f>
        <v>15</v>
      </c>
      <c r="D258" s="778" t="s">
        <v>529</v>
      </c>
      <c r="E258" s="545" t="s">
        <v>590</v>
      </c>
      <c r="K258" s="544">
        <f>K256+1</f>
        <v>9</v>
      </c>
      <c r="L258" s="546">
        <v>0</v>
      </c>
      <c r="M258" s="598" t="s">
        <v>389</v>
      </c>
      <c r="N258" s="598" t="s">
        <v>398</v>
      </c>
    </row>
    <row r="259" spans="2:14" x14ac:dyDescent="0.2">
      <c r="B259" s="572" t="s">
        <v>714</v>
      </c>
      <c r="C259" s="545">
        <f>C252</f>
        <v>14</v>
      </c>
      <c r="D259" s="778" t="s">
        <v>529</v>
      </c>
      <c r="E259" s="545" t="s">
        <v>590</v>
      </c>
      <c r="K259" s="544">
        <f t="shared" si="0"/>
        <v>10</v>
      </c>
      <c r="L259" s="546">
        <v>0</v>
      </c>
      <c r="M259" s="598" t="s">
        <v>389</v>
      </c>
      <c r="N259" s="598" t="s">
        <v>398</v>
      </c>
    </row>
    <row r="260" spans="2:14" x14ac:dyDescent="0.2">
      <c r="B260" s="572" t="s">
        <v>585</v>
      </c>
      <c r="C260" s="545">
        <f>C254</f>
        <v>22</v>
      </c>
      <c r="D260" s="778" t="s">
        <v>529</v>
      </c>
      <c r="E260" s="545" t="s">
        <v>590</v>
      </c>
      <c r="K260" s="544">
        <f>K256+1</f>
        <v>9</v>
      </c>
      <c r="L260" s="546">
        <v>0</v>
      </c>
      <c r="M260" s="598" t="s">
        <v>389</v>
      </c>
      <c r="N260" s="598" t="s">
        <v>399</v>
      </c>
    </row>
    <row r="261" spans="2:14" x14ac:dyDescent="0.2">
      <c r="B261" s="572" t="s">
        <v>429</v>
      </c>
      <c r="C261" s="545">
        <f>C255</f>
        <v>22</v>
      </c>
      <c r="D261" s="778" t="s">
        <v>529</v>
      </c>
      <c r="E261" s="545" t="s">
        <v>590</v>
      </c>
      <c r="K261" s="544">
        <f>K258+1</f>
        <v>10</v>
      </c>
      <c r="L261" s="546">
        <v>0</v>
      </c>
      <c r="M261" s="598" t="s">
        <v>389</v>
      </c>
      <c r="N261" s="598" t="s">
        <v>399</v>
      </c>
    </row>
    <row r="262" spans="2:14" x14ac:dyDescent="0.2">
      <c r="B262" s="572" t="s">
        <v>430</v>
      </c>
      <c r="C262" s="545">
        <f>C256</f>
        <v>24</v>
      </c>
      <c r="D262" s="778" t="s">
        <v>529</v>
      </c>
      <c r="E262" s="545" t="s">
        <v>590</v>
      </c>
      <c r="K262" s="544">
        <f t="shared" si="0"/>
        <v>11</v>
      </c>
      <c r="L262" s="546">
        <v>0</v>
      </c>
      <c r="M262" s="598" t="s">
        <v>389</v>
      </c>
      <c r="N262" s="598" t="s">
        <v>400</v>
      </c>
    </row>
    <row r="263" spans="2:14" x14ac:dyDescent="0.2">
      <c r="B263" s="545" t="s">
        <v>425</v>
      </c>
      <c r="C263" s="1239">
        <v>15</v>
      </c>
      <c r="D263" s="778" t="s">
        <v>529</v>
      </c>
      <c r="E263" s="545" t="s">
        <v>589</v>
      </c>
      <c r="K263" s="544">
        <f>K249+1</f>
        <v>6</v>
      </c>
      <c r="L263" s="546">
        <v>0</v>
      </c>
      <c r="M263" s="598" t="s">
        <v>389</v>
      </c>
      <c r="N263" s="598" t="s">
        <v>395</v>
      </c>
    </row>
    <row r="264" spans="2:14" x14ac:dyDescent="0.2">
      <c r="B264" s="778" t="s">
        <v>749</v>
      </c>
      <c r="C264" s="1239">
        <v>15</v>
      </c>
      <c r="D264" s="778" t="s">
        <v>529</v>
      </c>
      <c r="E264" s="545" t="s">
        <v>589</v>
      </c>
    </row>
    <row r="265" spans="2:14" x14ac:dyDescent="0.2">
      <c r="B265" s="545" t="s">
        <v>713</v>
      </c>
      <c r="C265" s="1239">
        <v>15</v>
      </c>
      <c r="D265" s="778" t="s">
        <v>529</v>
      </c>
      <c r="E265" s="545" t="s">
        <v>589</v>
      </c>
      <c r="K265" s="544">
        <f>K250+1</f>
        <v>7</v>
      </c>
      <c r="L265" s="546">
        <v>0</v>
      </c>
      <c r="M265" s="598" t="s">
        <v>389</v>
      </c>
      <c r="N265" s="598" t="s">
        <v>395</v>
      </c>
    </row>
    <row r="266" spans="2:14" x14ac:dyDescent="0.2">
      <c r="B266" s="778" t="s">
        <v>518</v>
      </c>
      <c r="C266" s="661">
        <v>14</v>
      </c>
      <c r="D266" s="779" t="s">
        <v>530</v>
      </c>
      <c r="E266" s="545" t="s">
        <v>589</v>
      </c>
      <c r="L266" s="546">
        <v>0</v>
      </c>
      <c r="M266" s="545" t="s">
        <v>389</v>
      </c>
      <c r="N266" s="545" t="s">
        <v>393</v>
      </c>
    </row>
    <row r="267" spans="2:14" x14ac:dyDescent="0.2">
      <c r="B267" s="545" t="s">
        <v>583</v>
      </c>
      <c r="C267" s="1239">
        <v>22</v>
      </c>
      <c r="D267" s="778" t="s">
        <v>529</v>
      </c>
      <c r="E267" s="545" t="s">
        <v>589</v>
      </c>
      <c r="K267" s="544">
        <f>K262+1</f>
        <v>12</v>
      </c>
      <c r="L267" s="546">
        <v>0</v>
      </c>
      <c r="M267" s="598" t="s">
        <v>389</v>
      </c>
      <c r="N267" s="598" t="s">
        <v>396</v>
      </c>
    </row>
    <row r="268" spans="2:14" x14ac:dyDescent="0.2">
      <c r="B268" s="545" t="s">
        <v>584</v>
      </c>
      <c r="C268" s="1239">
        <v>22</v>
      </c>
      <c r="D268" s="778" t="s">
        <v>529</v>
      </c>
      <c r="E268" s="545" t="s">
        <v>589</v>
      </c>
      <c r="K268" s="544">
        <f>K263+1</f>
        <v>7</v>
      </c>
      <c r="L268" s="546">
        <v>0</v>
      </c>
      <c r="M268" s="598" t="s">
        <v>389</v>
      </c>
      <c r="N268" s="598" t="s">
        <v>396</v>
      </c>
    </row>
    <row r="269" spans="2:14" x14ac:dyDescent="0.2">
      <c r="B269" s="545" t="s">
        <v>427</v>
      </c>
      <c r="C269" s="545">
        <v>25</v>
      </c>
      <c r="D269" s="778" t="s">
        <v>529</v>
      </c>
      <c r="E269" s="545" t="s">
        <v>589</v>
      </c>
      <c r="K269" s="544">
        <f t="shared" ref="K269:K274" si="1">K268+1</f>
        <v>8</v>
      </c>
      <c r="L269" s="546">
        <v>0</v>
      </c>
      <c r="M269" s="598" t="s">
        <v>389</v>
      </c>
      <c r="N269" s="598" t="s">
        <v>397</v>
      </c>
    </row>
    <row r="270" spans="2:14" x14ac:dyDescent="0.2">
      <c r="B270" s="572" t="s">
        <v>428</v>
      </c>
      <c r="C270" s="545">
        <f>C263</f>
        <v>15</v>
      </c>
      <c r="D270" s="778" t="s">
        <v>529</v>
      </c>
      <c r="E270" s="545" t="s">
        <v>589</v>
      </c>
      <c r="K270" s="544">
        <f t="shared" si="1"/>
        <v>9</v>
      </c>
      <c r="L270" s="546">
        <v>0</v>
      </c>
      <c r="M270" s="598" t="s">
        <v>389</v>
      </c>
      <c r="N270" s="598" t="s">
        <v>398</v>
      </c>
    </row>
    <row r="271" spans="2:14" x14ac:dyDescent="0.2">
      <c r="B271" s="572" t="s">
        <v>714</v>
      </c>
      <c r="C271" s="545">
        <f>C265</f>
        <v>15</v>
      </c>
      <c r="D271" s="778" t="s">
        <v>529</v>
      </c>
      <c r="E271" s="545" t="s">
        <v>589</v>
      </c>
      <c r="K271" s="544">
        <f t="shared" si="1"/>
        <v>10</v>
      </c>
      <c r="L271" s="546">
        <v>0</v>
      </c>
      <c r="M271" s="598" t="s">
        <v>389</v>
      </c>
      <c r="N271" s="598" t="s">
        <v>398</v>
      </c>
    </row>
    <row r="272" spans="2:14" x14ac:dyDescent="0.2">
      <c r="B272" s="572" t="s">
        <v>585</v>
      </c>
      <c r="C272" s="545">
        <f>C267</f>
        <v>22</v>
      </c>
      <c r="D272" s="778" t="s">
        <v>529</v>
      </c>
      <c r="E272" s="545" t="s">
        <v>589</v>
      </c>
      <c r="K272" s="544">
        <f>K269+1</f>
        <v>9</v>
      </c>
      <c r="L272" s="546">
        <v>0</v>
      </c>
      <c r="M272" s="598" t="s">
        <v>389</v>
      </c>
      <c r="N272" s="598" t="s">
        <v>399</v>
      </c>
    </row>
    <row r="273" spans="2:14" x14ac:dyDescent="0.2">
      <c r="B273" s="572" t="s">
        <v>429</v>
      </c>
      <c r="C273" s="545">
        <f>C268</f>
        <v>22</v>
      </c>
      <c r="D273" s="778" t="s">
        <v>529</v>
      </c>
      <c r="E273" s="545" t="s">
        <v>589</v>
      </c>
      <c r="K273" s="544">
        <f>K270+1</f>
        <v>10</v>
      </c>
      <c r="L273" s="546">
        <v>0</v>
      </c>
      <c r="M273" s="598" t="s">
        <v>389</v>
      </c>
      <c r="N273" s="598" t="s">
        <v>399</v>
      </c>
    </row>
    <row r="274" spans="2:14" x14ac:dyDescent="0.2">
      <c r="B274" s="572" t="s">
        <v>430</v>
      </c>
      <c r="C274" s="545">
        <f>C269</f>
        <v>25</v>
      </c>
      <c r="D274" s="778" t="s">
        <v>529</v>
      </c>
      <c r="E274" s="545" t="s">
        <v>589</v>
      </c>
      <c r="K274" s="544">
        <f t="shared" si="1"/>
        <v>11</v>
      </c>
      <c r="L274" s="546">
        <v>0</v>
      </c>
      <c r="M274" s="598" t="s">
        <v>389</v>
      </c>
      <c r="N274" s="598" t="s">
        <v>400</v>
      </c>
    </row>
    <row r="275" spans="2:14" x14ac:dyDescent="0.2">
      <c r="B275" s="778" t="s">
        <v>425</v>
      </c>
      <c r="C275" s="661">
        <v>10</v>
      </c>
      <c r="D275" s="779" t="s">
        <v>530</v>
      </c>
      <c r="E275" s="778" t="s">
        <v>750</v>
      </c>
      <c r="L275" s="546">
        <v>0</v>
      </c>
      <c r="M275" s="545" t="s">
        <v>389</v>
      </c>
      <c r="N275" s="545" t="s">
        <v>393</v>
      </c>
    </row>
    <row r="276" spans="2:14" x14ac:dyDescent="0.2">
      <c r="B276" s="778" t="s">
        <v>749</v>
      </c>
      <c r="C276" s="661">
        <v>10</v>
      </c>
      <c r="D276" s="779" t="s">
        <v>530</v>
      </c>
      <c r="E276" s="778" t="s">
        <v>750</v>
      </c>
    </row>
    <row r="277" spans="2:14" x14ac:dyDescent="0.2">
      <c r="B277" s="778" t="s">
        <v>713</v>
      </c>
      <c r="C277" s="661">
        <v>10</v>
      </c>
      <c r="D277" s="779" t="s">
        <v>530</v>
      </c>
      <c r="E277" s="778" t="s">
        <v>750</v>
      </c>
      <c r="L277" s="546">
        <v>0</v>
      </c>
      <c r="M277" s="545" t="s">
        <v>389</v>
      </c>
      <c r="N277" s="545" t="s">
        <v>393</v>
      </c>
    </row>
    <row r="278" spans="2:14" x14ac:dyDescent="0.2">
      <c r="B278" s="778" t="s">
        <v>518</v>
      </c>
      <c r="C278" s="661">
        <v>14</v>
      </c>
      <c r="D278" s="779" t="s">
        <v>530</v>
      </c>
      <c r="E278" s="778" t="s">
        <v>750</v>
      </c>
      <c r="L278" s="546">
        <v>0</v>
      </c>
      <c r="M278" s="545" t="s">
        <v>389</v>
      </c>
      <c r="N278" s="545" t="s">
        <v>393</v>
      </c>
    </row>
    <row r="279" spans="2:14" x14ac:dyDescent="0.2">
      <c r="B279" s="778" t="s">
        <v>583</v>
      </c>
      <c r="C279" s="661">
        <v>22</v>
      </c>
      <c r="D279" s="779" t="s">
        <v>530</v>
      </c>
      <c r="E279" s="778" t="s">
        <v>750</v>
      </c>
      <c r="L279" s="546">
        <v>0</v>
      </c>
      <c r="M279" s="545" t="s">
        <v>389</v>
      </c>
      <c r="N279" s="545" t="s">
        <v>393</v>
      </c>
    </row>
    <row r="280" spans="2:14" x14ac:dyDescent="0.2">
      <c r="B280" s="778" t="s">
        <v>584</v>
      </c>
      <c r="C280" s="661">
        <v>16</v>
      </c>
      <c r="D280" s="779" t="s">
        <v>530</v>
      </c>
      <c r="E280" s="778" t="s">
        <v>750</v>
      </c>
      <c r="L280" s="546">
        <v>0</v>
      </c>
      <c r="M280" s="545" t="s">
        <v>389</v>
      </c>
      <c r="N280" s="545" t="s">
        <v>393</v>
      </c>
    </row>
    <row r="281" spans="2:14" x14ac:dyDescent="0.2">
      <c r="B281" s="778" t="s">
        <v>427</v>
      </c>
      <c r="C281" s="661">
        <v>16</v>
      </c>
      <c r="D281" s="779" t="s">
        <v>530</v>
      </c>
      <c r="E281" s="778" t="s">
        <v>750</v>
      </c>
      <c r="K281" s="544">
        <v>4</v>
      </c>
      <c r="L281" s="546">
        <v>0</v>
      </c>
      <c r="M281" s="545" t="s">
        <v>389</v>
      </c>
      <c r="N281" s="545" t="s">
        <v>394</v>
      </c>
    </row>
    <row r="282" spans="2:14" x14ac:dyDescent="0.2">
      <c r="B282" s="572" t="s">
        <v>428</v>
      </c>
      <c r="C282" s="661">
        <f>C275</f>
        <v>10</v>
      </c>
      <c r="D282" s="779" t="s">
        <v>530</v>
      </c>
      <c r="E282" s="778" t="s">
        <v>750</v>
      </c>
      <c r="L282" s="546">
        <v>0</v>
      </c>
      <c r="M282" s="545" t="s">
        <v>389</v>
      </c>
      <c r="N282" s="545" t="s">
        <v>394</v>
      </c>
    </row>
    <row r="283" spans="2:14" x14ac:dyDescent="0.2">
      <c r="B283" s="572" t="s">
        <v>714</v>
      </c>
      <c r="C283" s="661">
        <f>C277</f>
        <v>10</v>
      </c>
      <c r="D283" s="779" t="s">
        <v>530</v>
      </c>
      <c r="E283" s="778" t="s">
        <v>750</v>
      </c>
      <c r="L283" s="546">
        <v>0</v>
      </c>
      <c r="M283" s="545" t="s">
        <v>389</v>
      </c>
      <c r="N283" s="545" t="s">
        <v>394</v>
      </c>
    </row>
    <row r="284" spans="2:14" x14ac:dyDescent="0.2">
      <c r="B284" s="572" t="s">
        <v>585</v>
      </c>
      <c r="C284" s="661">
        <f>C279</f>
        <v>22</v>
      </c>
      <c r="D284" s="779" t="s">
        <v>530</v>
      </c>
      <c r="E284" s="778" t="s">
        <v>750</v>
      </c>
      <c r="L284" s="546">
        <v>0</v>
      </c>
      <c r="M284" s="545" t="s">
        <v>389</v>
      </c>
      <c r="N284" s="545" t="s">
        <v>394</v>
      </c>
    </row>
    <row r="285" spans="2:14" x14ac:dyDescent="0.2">
      <c r="B285" s="572" t="s">
        <v>429</v>
      </c>
      <c r="C285" s="661">
        <f>C280</f>
        <v>16</v>
      </c>
      <c r="D285" s="779" t="s">
        <v>530</v>
      </c>
      <c r="E285" s="778" t="s">
        <v>750</v>
      </c>
      <c r="L285" s="546">
        <v>0</v>
      </c>
      <c r="M285" s="545" t="s">
        <v>389</v>
      </c>
      <c r="N285" s="545" t="s">
        <v>394</v>
      </c>
    </row>
    <row r="286" spans="2:14" x14ac:dyDescent="0.2">
      <c r="B286" s="572" t="s">
        <v>430</v>
      </c>
      <c r="C286" s="661">
        <f>C281</f>
        <v>16</v>
      </c>
      <c r="D286" s="779" t="s">
        <v>530</v>
      </c>
      <c r="E286" s="778" t="s">
        <v>750</v>
      </c>
      <c r="L286" s="546">
        <v>0</v>
      </c>
      <c r="M286" s="545" t="s">
        <v>389</v>
      </c>
      <c r="N286" s="545" t="s">
        <v>394</v>
      </c>
    </row>
    <row r="287" spans="2:14" x14ac:dyDescent="0.2">
      <c r="B287" s="778" t="s">
        <v>425</v>
      </c>
      <c r="C287" s="661">
        <v>10</v>
      </c>
      <c r="D287" s="779" t="s">
        <v>530</v>
      </c>
      <c r="E287" s="778" t="s">
        <v>391</v>
      </c>
      <c r="L287" s="546">
        <v>0</v>
      </c>
      <c r="M287" s="545" t="s">
        <v>389</v>
      </c>
      <c r="N287" s="545" t="s">
        <v>393</v>
      </c>
    </row>
    <row r="288" spans="2:14" x14ac:dyDescent="0.2">
      <c r="B288" s="778" t="s">
        <v>749</v>
      </c>
      <c r="C288" s="661">
        <v>14</v>
      </c>
      <c r="D288" s="779" t="s">
        <v>530</v>
      </c>
      <c r="E288" s="778" t="s">
        <v>391</v>
      </c>
    </row>
    <row r="289" spans="2:14" x14ac:dyDescent="0.2">
      <c r="B289" s="778" t="s">
        <v>713</v>
      </c>
      <c r="C289" s="661">
        <v>14</v>
      </c>
      <c r="D289" s="779" t="s">
        <v>530</v>
      </c>
      <c r="E289" s="778" t="s">
        <v>391</v>
      </c>
      <c r="L289" s="546">
        <v>0</v>
      </c>
      <c r="M289" s="545" t="s">
        <v>389</v>
      </c>
      <c r="N289" s="545" t="s">
        <v>393</v>
      </c>
    </row>
    <row r="290" spans="2:14" x14ac:dyDescent="0.2">
      <c r="B290" s="778" t="s">
        <v>518</v>
      </c>
      <c r="C290" s="661">
        <v>14</v>
      </c>
      <c r="D290" s="779" t="s">
        <v>530</v>
      </c>
      <c r="E290" s="778" t="s">
        <v>391</v>
      </c>
      <c r="L290" s="546">
        <v>0</v>
      </c>
      <c r="M290" s="545" t="s">
        <v>389</v>
      </c>
      <c r="N290" s="545" t="s">
        <v>393</v>
      </c>
    </row>
    <row r="291" spans="2:14" x14ac:dyDescent="0.2">
      <c r="B291" s="778" t="s">
        <v>583</v>
      </c>
      <c r="C291" s="661">
        <v>26</v>
      </c>
      <c r="D291" s="779" t="s">
        <v>530</v>
      </c>
      <c r="E291" s="778" t="s">
        <v>391</v>
      </c>
      <c r="L291" s="546">
        <v>0</v>
      </c>
      <c r="M291" s="545" t="s">
        <v>389</v>
      </c>
      <c r="N291" s="545" t="s">
        <v>393</v>
      </c>
    </row>
    <row r="292" spans="2:14" x14ac:dyDescent="0.2">
      <c r="B292" s="778" t="s">
        <v>584</v>
      </c>
      <c r="C292" s="661">
        <v>16</v>
      </c>
      <c r="D292" s="779" t="s">
        <v>530</v>
      </c>
      <c r="E292" s="778" t="s">
        <v>391</v>
      </c>
      <c r="L292" s="546">
        <v>0</v>
      </c>
      <c r="M292" s="545" t="s">
        <v>389</v>
      </c>
      <c r="N292" s="545" t="s">
        <v>393</v>
      </c>
    </row>
    <row r="293" spans="2:14" x14ac:dyDescent="0.2">
      <c r="B293" s="778" t="s">
        <v>427</v>
      </c>
      <c r="C293" s="661">
        <v>16</v>
      </c>
      <c r="D293" s="779" t="s">
        <v>530</v>
      </c>
      <c r="E293" s="778" t="s">
        <v>391</v>
      </c>
      <c r="K293" s="544">
        <v>4</v>
      </c>
      <c r="L293" s="546">
        <v>0</v>
      </c>
      <c r="M293" s="545" t="s">
        <v>389</v>
      </c>
      <c r="N293" s="545" t="s">
        <v>394</v>
      </c>
    </row>
    <row r="294" spans="2:14" x14ac:dyDescent="0.2">
      <c r="B294" s="572" t="s">
        <v>428</v>
      </c>
      <c r="C294" s="661">
        <f>C287</f>
        <v>10</v>
      </c>
      <c r="D294" s="779" t="s">
        <v>530</v>
      </c>
      <c r="E294" s="778" t="s">
        <v>391</v>
      </c>
      <c r="L294" s="546">
        <v>0</v>
      </c>
      <c r="M294" s="545" t="s">
        <v>389</v>
      </c>
      <c r="N294" s="545" t="s">
        <v>394</v>
      </c>
    </row>
    <row r="295" spans="2:14" x14ac:dyDescent="0.2">
      <c r="B295" s="572" t="s">
        <v>714</v>
      </c>
      <c r="C295" s="661">
        <f>C289</f>
        <v>14</v>
      </c>
      <c r="D295" s="779" t="s">
        <v>530</v>
      </c>
      <c r="E295" s="778" t="s">
        <v>391</v>
      </c>
      <c r="L295" s="546">
        <v>0</v>
      </c>
      <c r="M295" s="545" t="s">
        <v>389</v>
      </c>
      <c r="N295" s="545" t="s">
        <v>394</v>
      </c>
    </row>
    <row r="296" spans="2:14" x14ac:dyDescent="0.2">
      <c r="B296" s="572" t="s">
        <v>585</v>
      </c>
      <c r="C296" s="661">
        <f>C291</f>
        <v>26</v>
      </c>
      <c r="D296" s="779" t="s">
        <v>530</v>
      </c>
      <c r="E296" s="778" t="s">
        <v>391</v>
      </c>
      <c r="L296" s="546">
        <v>0</v>
      </c>
      <c r="M296" s="545" t="s">
        <v>389</v>
      </c>
      <c r="N296" s="545" t="s">
        <v>394</v>
      </c>
    </row>
    <row r="297" spans="2:14" x14ac:dyDescent="0.2">
      <c r="B297" s="572" t="s">
        <v>429</v>
      </c>
      <c r="C297" s="661">
        <f>C292</f>
        <v>16</v>
      </c>
      <c r="D297" s="779" t="s">
        <v>530</v>
      </c>
      <c r="E297" s="778" t="s">
        <v>391</v>
      </c>
      <c r="L297" s="546">
        <v>0</v>
      </c>
      <c r="M297" s="545" t="s">
        <v>389</v>
      </c>
      <c r="N297" s="545" t="s">
        <v>394</v>
      </c>
    </row>
    <row r="298" spans="2:14" x14ac:dyDescent="0.2">
      <c r="B298" s="572" t="s">
        <v>430</v>
      </c>
      <c r="C298" s="661">
        <f>C293</f>
        <v>16</v>
      </c>
      <c r="D298" s="779" t="s">
        <v>530</v>
      </c>
      <c r="E298" s="778" t="s">
        <v>391</v>
      </c>
      <c r="L298" s="546">
        <v>0</v>
      </c>
      <c r="M298" s="545" t="s">
        <v>389</v>
      </c>
      <c r="N298" s="545" t="s">
        <v>394</v>
      </c>
    </row>
    <row r="299" spans="2:14" x14ac:dyDescent="0.2">
      <c r="B299" s="778" t="s">
        <v>425</v>
      </c>
      <c r="C299" s="661">
        <v>10</v>
      </c>
      <c r="D299" s="779" t="s">
        <v>530</v>
      </c>
      <c r="E299" s="778" t="s">
        <v>742</v>
      </c>
      <c r="L299" s="546">
        <v>0</v>
      </c>
      <c r="M299" s="545" t="s">
        <v>389</v>
      </c>
      <c r="N299" s="545" t="s">
        <v>393</v>
      </c>
    </row>
    <row r="300" spans="2:14" x14ac:dyDescent="0.2">
      <c r="B300" s="778" t="s">
        <v>749</v>
      </c>
      <c r="C300" s="661">
        <v>10</v>
      </c>
      <c r="D300" s="779" t="s">
        <v>530</v>
      </c>
      <c r="E300" s="778" t="s">
        <v>742</v>
      </c>
    </row>
    <row r="301" spans="2:14" x14ac:dyDescent="0.2">
      <c r="B301" s="778" t="s">
        <v>713</v>
      </c>
      <c r="C301" s="661">
        <v>20</v>
      </c>
      <c r="D301" s="779" t="s">
        <v>530</v>
      </c>
      <c r="E301" s="778" t="s">
        <v>742</v>
      </c>
      <c r="L301" s="546">
        <v>0</v>
      </c>
      <c r="M301" s="545" t="s">
        <v>389</v>
      </c>
      <c r="N301" s="545" t="s">
        <v>393</v>
      </c>
    </row>
    <row r="302" spans="2:14" x14ac:dyDescent="0.2">
      <c r="B302" s="778" t="s">
        <v>518</v>
      </c>
      <c r="C302" s="661">
        <v>14</v>
      </c>
      <c r="D302" s="779" t="s">
        <v>530</v>
      </c>
      <c r="E302" s="778" t="s">
        <v>742</v>
      </c>
      <c r="L302" s="546">
        <v>0</v>
      </c>
      <c r="M302" s="545" t="s">
        <v>389</v>
      </c>
      <c r="N302" s="545" t="s">
        <v>393</v>
      </c>
    </row>
    <row r="303" spans="2:14" x14ac:dyDescent="0.2">
      <c r="B303" s="778" t="s">
        <v>583</v>
      </c>
      <c r="C303" s="661">
        <v>22</v>
      </c>
      <c r="D303" s="779" t="s">
        <v>530</v>
      </c>
      <c r="E303" s="778" t="s">
        <v>742</v>
      </c>
      <c r="L303" s="546">
        <v>0</v>
      </c>
      <c r="M303" s="545" t="s">
        <v>389</v>
      </c>
      <c r="N303" s="545" t="s">
        <v>393</v>
      </c>
    </row>
    <row r="304" spans="2:14" x14ac:dyDescent="0.2">
      <c r="B304" s="778" t="s">
        <v>584</v>
      </c>
      <c r="C304" s="661">
        <v>16</v>
      </c>
      <c r="D304" s="779" t="s">
        <v>530</v>
      </c>
      <c r="E304" s="778" t="s">
        <v>742</v>
      </c>
      <c r="L304" s="546">
        <v>0</v>
      </c>
      <c r="M304" s="545" t="s">
        <v>389</v>
      </c>
      <c r="N304" s="545" t="s">
        <v>393</v>
      </c>
    </row>
    <row r="305" spans="2:14" x14ac:dyDescent="0.2">
      <c r="B305" s="778" t="s">
        <v>427</v>
      </c>
      <c r="C305" s="661">
        <v>16</v>
      </c>
      <c r="D305" s="779" t="s">
        <v>530</v>
      </c>
      <c r="E305" s="778" t="s">
        <v>742</v>
      </c>
      <c r="K305" s="544">
        <v>4</v>
      </c>
      <c r="L305" s="546">
        <v>0</v>
      </c>
      <c r="M305" s="545" t="s">
        <v>389</v>
      </c>
      <c r="N305" s="545" t="s">
        <v>394</v>
      </c>
    </row>
    <row r="306" spans="2:14" x14ac:dyDescent="0.2">
      <c r="B306" s="572" t="s">
        <v>428</v>
      </c>
      <c r="C306" s="661">
        <f>C299</f>
        <v>10</v>
      </c>
      <c r="D306" s="779" t="s">
        <v>530</v>
      </c>
      <c r="E306" s="778" t="s">
        <v>742</v>
      </c>
      <c r="L306" s="546">
        <v>0</v>
      </c>
      <c r="M306" s="545" t="s">
        <v>389</v>
      </c>
      <c r="N306" s="545" t="s">
        <v>394</v>
      </c>
    </row>
    <row r="307" spans="2:14" x14ac:dyDescent="0.2">
      <c r="B307" s="572" t="s">
        <v>714</v>
      </c>
      <c r="C307" s="661">
        <f>C301</f>
        <v>20</v>
      </c>
      <c r="D307" s="779" t="s">
        <v>530</v>
      </c>
      <c r="E307" s="778" t="s">
        <v>742</v>
      </c>
      <c r="L307" s="546">
        <v>0</v>
      </c>
      <c r="M307" s="545" t="s">
        <v>389</v>
      </c>
      <c r="N307" s="545" t="s">
        <v>394</v>
      </c>
    </row>
    <row r="308" spans="2:14" x14ac:dyDescent="0.2">
      <c r="B308" s="572" t="s">
        <v>585</v>
      </c>
      <c r="C308" s="661">
        <f>C303</f>
        <v>22</v>
      </c>
      <c r="D308" s="779" t="s">
        <v>530</v>
      </c>
      <c r="E308" s="778" t="s">
        <v>742</v>
      </c>
      <c r="L308" s="546">
        <v>0</v>
      </c>
      <c r="M308" s="545" t="s">
        <v>389</v>
      </c>
      <c r="N308" s="545" t="s">
        <v>394</v>
      </c>
    </row>
    <row r="309" spans="2:14" x14ac:dyDescent="0.2">
      <c r="B309" s="572" t="s">
        <v>429</v>
      </c>
      <c r="C309" s="661">
        <f>C304</f>
        <v>16</v>
      </c>
      <c r="D309" s="779" t="s">
        <v>530</v>
      </c>
      <c r="E309" s="778" t="s">
        <v>742</v>
      </c>
      <c r="L309" s="546">
        <v>0</v>
      </c>
      <c r="M309" s="545" t="s">
        <v>389</v>
      </c>
      <c r="N309" s="545" t="s">
        <v>394</v>
      </c>
    </row>
    <row r="310" spans="2:14" x14ac:dyDescent="0.2">
      <c r="B310" s="572" t="s">
        <v>430</v>
      </c>
      <c r="C310" s="661">
        <f>C305</f>
        <v>16</v>
      </c>
      <c r="D310" s="779" t="s">
        <v>530</v>
      </c>
      <c r="E310" s="778" t="s">
        <v>742</v>
      </c>
      <c r="L310" s="546">
        <v>0</v>
      </c>
      <c r="M310" s="545" t="s">
        <v>389</v>
      </c>
      <c r="N310" s="545" t="s">
        <v>394</v>
      </c>
    </row>
    <row r="311" spans="2:14" x14ac:dyDescent="0.2">
      <c r="B311" s="545" t="s">
        <v>425</v>
      </c>
      <c r="C311" s="1239">
        <v>6</v>
      </c>
      <c r="D311" s="778" t="s">
        <v>529</v>
      </c>
      <c r="E311" s="545" t="s">
        <v>745</v>
      </c>
    </row>
    <row r="312" spans="2:14" x14ac:dyDescent="0.2">
      <c r="B312" s="778" t="s">
        <v>749</v>
      </c>
      <c r="C312" s="1239">
        <v>6</v>
      </c>
      <c r="D312" s="778" t="s">
        <v>529</v>
      </c>
      <c r="E312" s="545" t="s">
        <v>745</v>
      </c>
    </row>
    <row r="313" spans="2:14" x14ac:dyDescent="0.2">
      <c r="B313" s="545" t="s">
        <v>713</v>
      </c>
      <c r="C313" s="1239">
        <v>13</v>
      </c>
      <c r="D313" s="778" t="s">
        <v>529</v>
      </c>
      <c r="E313" s="545" t="s">
        <v>745</v>
      </c>
    </row>
    <row r="314" spans="2:14" x14ac:dyDescent="0.2">
      <c r="B314" s="778" t="s">
        <v>518</v>
      </c>
      <c r="C314" s="661">
        <v>0</v>
      </c>
      <c r="D314" s="779" t="s">
        <v>530</v>
      </c>
      <c r="E314" s="545" t="s">
        <v>745</v>
      </c>
      <c r="L314" s="546">
        <v>0</v>
      </c>
      <c r="M314" s="545" t="s">
        <v>389</v>
      </c>
      <c r="N314" s="545" t="s">
        <v>393</v>
      </c>
    </row>
    <row r="315" spans="2:14" x14ac:dyDescent="0.2">
      <c r="B315" s="545" t="s">
        <v>583</v>
      </c>
      <c r="C315" s="1239">
        <v>15</v>
      </c>
      <c r="D315" s="778" t="s">
        <v>529</v>
      </c>
      <c r="E315" s="545" t="s">
        <v>745</v>
      </c>
      <c r="K315" s="544">
        <v>1</v>
      </c>
      <c r="M315" s="544" t="s">
        <v>437</v>
      </c>
    </row>
    <row r="316" spans="2:14" x14ac:dyDescent="0.2">
      <c r="B316" s="545" t="s">
        <v>584</v>
      </c>
      <c r="C316" s="1239">
        <v>15</v>
      </c>
      <c r="D316" s="778" t="s">
        <v>529</v>
      </c>
      <c r="E316" s="545" t="s">
        <v>745</v>
      </c>
      <c r="K316" s="544">
        <v>1</v>
      </c>
      <c r="M316" s="544" t="s">
        <v>437</v>
      </c>
    </row>
    <row r="317" spans="2:14" x14ac:dyDescent="0.2">
      <c r="B317" s="545" t="s">
        <v>427</v>
      </c>
      <c r="C317" s="545">
        <v>15</v>
      </c>
      <c r="D317" s="778" t="s">
        <v>529</v>
      </c>
      <c r="E317" s="545" t="s">
        <v>745</v>
      </c>
      <c r="K317" s="544">
        <f>K316+1</f>
        <v>2</v>
      </c>
      <c r="L317" s="545">
        <v>5</v>
      </c>
      <c r="M317" s="598" t="s">
        <v>389</v>
      </c>
      <c r="N317" s="598" t="s">
        <v>390</v>
      </c>
    </row>
    <row r="318" spans="2:14" x14ac:dyDescent="0.2">
      <c r="B318" s="545" t="s">
        <v>741</v>
      </c>
      <c r="C318" s="1239">
        <v>3</v>
      </c>
      <c r="D318" s="778" t="s">
        <v>529</v>
      </c>
      <c r="E318" s="545" t="s">
        <v>745</v>
      </c>
      <c r="K318" s="544">
        <f>K317+1</f>
        <v>3</v>
      </c>
      <c r="L318" s="545">
        <v>5</v>
      </c>
      <c r="M318" s="598" t="s">
        <v>389</v>
      </c>
      <c r="N318" s="598" t="s">
        <v>390</v>
      </c>
    </row>
    <row r="319" spans="2:14" x14ac:dyDescent="0.2">
      <c r="B319" s="572" t="s">
        <v>428</v>
      </c>
      <c r="C319" s="545">
        <f>C311</f>
        <v>6</v>
      </c>
      <c r="D319" s="778" t="s">
        <v>529</v>
      </c>
      <c r="E319" s="545" t="s">
        <v>745</v>
      </c>
      <c r="K319" s="544">
        <f>K317+1</f>
        <v>3</v>
      </c>
      <c r="L319" s="545">
        <v>0</v>
      </c>
      <c r="M319" s="598" t="s">
        <v>389</v>
      </c>
      <c r="N319" s="598" t="s">
        <v>392</v>
      </c>
    </row>
    <row r="320" spans="2:14" x14ac:dyDescent="0.2">
      <c r="B320" s="572" t="s">
        <v>714</v>
      </c>
      <c r="C320" s="545">
        <f>C313</f>
        <v>13</v>
      </c>
      <c r="D320" s="778" t="s">
        <v>529</v>
      </c>
      <c r="E320" s="545" t="s">
        <v>745</v>
      </c>
      <c r="K320" s="544">
        <f>K319+1</f>
        <v>4</v>
      </c>
      <c r="L320" s="545">
        <v>0</v>
      </c>
      <c r="M320" s="598" t="s">
        <v>389</v>
      </c>
      <c r="N320" s="598" t="s">
        <v>392</v>
      </c>
    </row>
    <row r="321" spans="2:14" x14ac:dyDescent="0.2">
      <c r="B321" s="572" t="s">
        <v>585</v>
      </c>
      <c r="C321" s="545">
        <f>C315</f>
        <v>15</v>
      </c>
      <c r="D321" s="778" t="s">
        <v>529</v>
      </c>
      <c r="E321" s="545" t="s">
        <v>745</v>
      </c>
      <c r="K321" s="544">
        <f>K317+1</f>
        <v>3</v>
      </c>
      <c r="L321" s="546">
        <v>0</v>
      </c>
      <c r="M321" s="598" t="s">
        <v>389</v>
      </c>
      <c r="N321" s="598" t="s">
        <v>393</v>
      </c>
    </row>
    <row r="322" spans="2:14" x14ac:dyDescent="0.2">
      <c r="B322" s="572" t="s">
        <v>429</v>
      </c>
      <c r="C322" s="545">
        <f>C316</f>
        <v>15</v>
      </c>
      <c r="D322" s="778" t="s">
        <v>529</v>
      </c>
      <c r="E322" s="545" t="s">
        <v>745</v>
      </c>
      <c r="K322" s="544">
        <f>K319+1</f>
        <v>4</v>
      </c>
      <c r="L322" s="546">
        <v>0</v>
      </c>
      <c r="M322" s="598" t="s">
        <v>389</v>
      </c>
      <c r="N322" s="598" t="s">
        <v>393</v>
      </c>
    </row>
    <row r="323" spans="2:14" x14ac:dyDescent="0.2">
      <c r="B323" s="572" t="s">
        <v>430</v>
      </c>
      <c r="C323" s="545">
        <f>C317</f>
        <v>15</v>
      </c>
      <c r="D323" s="778" t="s">
        <v>529</v>
      </c>
      <c r="E323" s="545" t="s">
        <v>745</v>
      </c>
      <c r="K323" s="544">
        <f t="shared" ref="K323" si="2">K322+1</f>
        <v>5</v>
      </c>
      <c r="L323" s="546">
        <v>0</v>
      </c>
      <c r="M323" s="598" t="s">
        <v>389</v>
      </c>
      <c r="N323" s="598" t="s">
        <v>394</v>
      </c>
    </row>
    <row r="324" spans="2:14" x14ac:dyDescent="0.2">
      <c r="B324" s="777" t="s">
        <v>517</v>
      </c>
      <c r="C324" s="543"/>
      <c r="D324" s="543"/>
      <c r="E324" s="543"/>
    </row>
    <row r="325" spans="2:14" x14ac:dyDescent="0.2">
      <c r="B325" s="778" t="s">
        <v>425</v>
      </c>
      <c r="C325" s="1199">
        <v>5</v>
      </c>
      <c r="D325" s="779" t="s">
        <v>530</v>
      </c>
      <c r="E325" s="778" t="s">
        <v>455</v>
      </c>
      <c r="L325" s="546">
        <v>0</v>
      </c>
      <c r="M325" s="545" t="s">
        <v>389</v>
      </c>
      <c r="N325" s="545" t="s">
        <v>393</v>
      </c>
    </row>
    <row r="326" spans="2:14" x14ac:dyDescent="0.2">
      <c r="B326" s="778" t="s">
        <v>749</v>
      </c>
      <c r="C326" s="1199">
        <v>5</v>
      </c>
      <c r="D326" s="779" t="s">
        <v>530</v>
      </c>
      <c r="E326" s="778" t="s">
        <v>455</v>
      </c>
    </row>
    <row r="327" spans="2:14" x14ac:dyDescent="0.2">
      <c r="B327" s="778" t="s">
        <v>713</v>
      </c>
      <c r="C327" s="1199">
        <v>0</v>
      </c>
      <c r="D327" s="779" t="s">
        <v>530</v>
      </c>
      <c r="E327" s="778" t="s">
        <v>455</v>
      </c>
      <c r="L327" s="546">
        <v>0</v>
      </c>
      <c r="M327" s="545" t="s">
        <v>389</v>
      </c>
      <c r="N327" s="545" t="s">
        <v>393</v>
      </c>
    </row>
    <row r="328" spans="2:14" x14ac:dyDescent="0.2">
      <c r="B328" s="778" t="s">
        <v>518</v>
      </c>
      <c r="C328" s="1199">
        <v>0</v>
      </c>
      <c r="D328" s="779" t="s">
        <v>530</v>
      </c>
      <c r="E328" s="778" t="s">
        <v>455</v>
      </c>
      <c r="L328" s="546">
        <v>0</v>
      </c>
      <c r="M328" s="545" t="s">
        <v>389</v>
      </c>
      <c r="N328" s="545" t="s">
        <v>393</v>
      </c>
    </row>
    <row r="329" spans="2:14" x14ac:dyDescent="0.2">
      <c r="B329" s="778" t="s">
        <v>583</v>
      </c>
      <c r="C329" s="1199">
        <v>3</v>
      </c>
      <c r="D329" s="779" t="s">
        <v>530</v>
      </c>
      <c r="E329" s="778" t="s">
        <v>455</v>
      </c>
      <c r="L329" s="546">
        <v>0</v>
      </c>
      <c r="M329" s="545" t="s">
        <v>389</v>
      </c>
      <c r="N329" s="545" t="s">
        <v>393</v>
      </c>
    </row>
    <row r="330" spans="2:14" x14ac:dyDescent="0.2">
      <c r="B330" s="778" t="s">
        <v>584</v>
      </c>
      <c r="C330" s="1199">
        <v>3</v>
      </c>
      <c r="D330" s="779" t="s">
        <v>530</v>
      </c>
      <c r="E330" s="778" t="s">
        <v>455</v>
      </c>
      <c r="L330" s="546">
        <v>0</v>
      </c>
      <c r="M330" s="545" t="s">
        <v>389</v>
      </c>
      <c r="N330" s="545" t="s">
        <v>393</v>
      </c>
    </row>
    <row r="331" spans="2:14" x14ac:dyDescent="0.2">
      <c r="B331" s="778" t="s">
        <v>427</v>
      </c>
      <c r="C331" s="1199">
        <v>12</v>
      </c>
      <c r="D331" s="779" t="s">
        <v>530</v>
      </c>
      <c r="E331" s="778" t="s">
        <v>455</v>
      </c>
      <c r="K331" s="544">
        <v>4</v>
      </c>
      <c r="L331" s="546">
        <v>0</v>
      </c>
      <c r="M331" s="545" t="s">
        <v>389</v>
      </c>
      <c r="N331" s="545" t="s">
        <v>394</v>
      </c>
    </row>
    <row r="332" spans="2:14" x14ac:dyDescent="0.2">
      <c r="B332" s="572" t="s">
        <v>428</v>
      </c>
      <c r="C332" s="1199">
        <f>C325</f>
        <v>5</v>
      </c>
      <c r="D332" s="779" t="s">
        <v>530</v>
      </c>
      <c r="E332" s="778" t="s">
        <v>455</v>
      </c>
      <c r="L332" s="546">
        <v>0</v>
      </c>
      <c r="M332" s="545" t="s">
        <v>389</v>
      </c>
      <c r="N332" s="545" t="s">
        <v>394</v>
      </c>
    </row>
    <row r="333" spans="2:14" x14ac:dyDescent="0.2">
      <c r="B333" s="572" t="s">
        <v>714</v>
      </c>
      <c r="C333" s="1199">
        <f>C327</f>
        <v>0</v>
      </c>
      <c r="D333" s="779" t="s">
        <v>530</v>
      </c>
      <c r="E333" s="778" t="s">
        <v>455</v>
      </c>
      <c r="L333" s="546">
        <v>0</v>
      </c>
      <c r="M333" s="545" t="s">
        <v>389</v>
      </c>
      <c r="N333" s="545" t="s">
        <v>394</v>
      </c>
    </row>
    <row r="334" spans="2:14" x14ac:dyDescent="0.2">
      <c r="B334" s="572" t="s">
        <v>585</v>
      </c>
      <c r="C334" s="1199">
        <f>C329</f>
        <v>3</v>
      </c>
      <c r="D334" s="779" t="s">
        <v>530</v>
      </c>
      <c r="E334" s="778" t="s">
        <v>455</v>
      </c>
      <c r="L334" s="546">
        <v>0</v>
      </c>
      <c r="M334" s="545" t="s">
        <v>389</v>
      </c>
      <c r="N334" s="545" t="s">
        <v>394</v>
      </c>
    </row>
    <row r="335" spans="2:14" x14ac:dyDescent="0.2">
      <c r="B335" s="572" t="s">
        <v>429</v>
      </c>
      <c r="C335" s="1199">
        <f>C330</f>
        <v>3</v>
      </c>
      <c r="D335" s="779" t="s">
        <v>530</v>
      </c>
      <c r="E335" s="778" t="s">
        <v>455</v>
      </c>
      <c r="L335" s="546">
        <v>0</v>
      </c>
      <c r="M335" s="545" t="s">
        <v>389</v>
      </c>
      <c r="N335" s="545" t="s">
        <v>394</v>
      </c>
    </row>
    <row r="336" spans="2:14" x14ac:dyDescent="0.2">
      <c r="B336" s="572" t="s">
        <v>430</v>
      </c>
      <c r="C336" s="1199">
        <f>C331</f>
        <v>12</v>
      </c>
      <c r="D336" s="779" t="s">
        <v>530</v>
      </c>
      <c r="E336" s="778" t="s">
        <v>455</v>
      </c>
      <c r="L336" s="546">
        <v>0</v>
      </c>
      <c r="M336" s="545" t="s">
        <v>389</v>
      </c>
      <c r="N336" s="545" t="s">
        <v>394</v>
      </c>
    </row>
    <row r="337" spans="2:14" x14ac:dyDescent="0.2">
      <c r="B337" s="778" t="s">
        <v>425</v>
      </c>
      <c r="C337" s="1149">
        <v>5</v>
      </c>
      <c r="D337" s="779" t="s">
        <v>530</v>
      </c>
      <c r="E337" s="778" t="s">
        <v>401</v>
      </c>
      <c r="L337" s="546">
        <v>0</v>
      </c>
      <c r="M337" s="545" t="s">
        <v>389</v>
      </c>
      <c r="N337" s="545" t="s">
        <v>393</v>
      </c>
    </row>
    <row r="338" spans="2:14" x14ac:dyDescent="0.2">
      <c r="B338" s="778" t="s">
        <v>749</v>
      </c>
      <c r="C338" s="1199">
        <v>0</v>
      </c>
      <c r="D338" s="779" t="s">
        <v>530</v>
      </c>
      <c r="E338" s="778" t="s">
        <v>401</v>
      </c>
    </row>
    <row r="339" spans="2:14" x14ac:dyDescent="0.2">
      <c r="B339" s="778" t="s">
        <v>713</v>
      </c>
      <c r="C339" s="1149">
        <v>5</v>
      </c>
      <c r="D339" s="779" t="s">
        <v>530</v>
      </c>
      <c r="E339" s="778" t="s">
        <v>401</v>
      </c>
      <c r="L339" s="546">
        <v>0</v>
      </c>
      <c r="M339" s="545" t="s">
        <v>389</v>
      </c>
      <c r="N339" s="545" t="s">
        <v>393</v>
      </c>
    </row>
    <row r="340" spans="2:14" x14ac:dyDescent="0.2">
      <c r="B340" s="778" t="s">
        <v>518</v>
      </c>
      <c r="C340" s="1199">
        <v>0</v>
      </c>
      <c r="D340" s="779" t="s">
        <v>530</v>
      </c>
      <c r="E340" s="778" t="s">
        <v>401</v>
      </c>
      <c r="L340" s="546">
        <v>0</v>
      </c>
      <c r="M340" s="545" t="s">
        <v>389</v>
      </c>
      <c r="N340" s="545" t="s">
        <v>393</v>
      </c>
    </row>
    <row r="341" spans="2:14" x14ac:dyDescent="0.2">
      <c r="B341" s="778" t="s">
        <v>583</v>
      </c>
      <c r="C341" s="1149">
        <v>15</v>
      </c>
      <c r="D341" s="779" t="s">
        <v>530</v>
      </c>
      <c r="E341" s="778" t="s">
        <v>401</v>
      </c>
      <c r="L341" s="546">
        <v>0</v>
      </c>
      <c r="M341" s="545" t="s">
        <v>389</v>
      </c>
      <c r="N341" s="545" t="s">
        <v>393</v>
      </c>
    </row>
    <row r="342" spans="2:14" x14ac:dyDescent="0.2">
      <c r="B342" s="778" t="s">
        <v>584</v>
      </c>
      <c r="C342" s="1149">
        <v>15</v>
      </c>
      <c r="D342" s="779" t="s">
        <v>530</v>
      </c>
      <c r="E342" s="778" t="s">
        <v>401</v>
      </c>
      <c r="L342" s="546">
        <v>0</v>
      </c>
      <c r="M342" s="545" t="s">
        <v>389</v>
      </c>
      <c r="N342" s="545" t="s">
        <v>393</v>
      </c>
    </row>
    <row r="343" spans="2:14" x14ac:dyDescent="0.2">
      <c r="B343" s="778" t="s">
        <v>427</v>
      </c>
      <c r="C343" s="1149">
        <v>15</v>
      </c>
      <c r="D343" s="779" t="s">
        <v>530</v>
      </c>
      <c r="E343" s="778" t="s">
        <v>401</v>
      </c>
      <c r="K343" s="544">
        <v>4</v>
      </c>
      <c r="L343" s="546">
        <v>0</v>
      </c>
      <c r="M343" s="545" t="s">
        <v>389</v>
      </c>
      <c r="N343" s="545" t="s">
        <v>394</v>
      </c>
    </row>
    <row r="344" spans="2:14" x14ac:dyDescent="0.2">
      <c r="B344" s="572" t="s">
        <v>428</v>
      </c>
      <c r="C344" s="1149">
        <f>C337</f>
        <v>5</v>
      </c>
      <c r="D344" s="779" t="s">
        <v>530</v>
      </c>
      <c r="E344" s="778" t="s">
        <v>401</v>
      </c>
      <c r="L344" s="546">
        <v>0</v>
      </c>
      <c r="M344" s="545" t="s">
        <v>389</v>
      </c>
      <c r="N344" s="545" t="s">
        <v>394</v>
      </c>
    </row>
    <row r="345" spans="2:14" x14ac:dyDescent="0.2">
      <c r="B345" s="572" t="s">
        <v>714</v>
      </c>
      <c r="C345" s="1149">
        <f>C339</f>
        <v>5</v>
      </c>
      <c r="D345" s="779" t="s">
        <v>530</v>
      </c>
      <c r="E345" s="778" t="s">
        <v>401</v>
      </c>
      <c r="L345" s="546">
        <v>0</v>
      </c>
      <c r="M345" s="545" t="s">
        <v>389</v>
      </c>
      <c r="N345" s="545" t="s">
        <v>394</v>
      </c>
    </row>
    <row r="346" spans="2:14" x14ac:dyDescent="0.2">
      <c r="B346" s="572" t="s">
        <v>585</v>
      </c>
      <c r="C346" s="1149">
        <f>C341</f>
        <v>15</v>
      </c>
      <c r="D346" s="779" t="s">
        <v>530</v>
      </c>
      <c r="E346" s="778" t="s">
        <v>401</v>
      </c>
      <c r="L346" s="546">
        <v>0</v>
      </c>
      <c r="M346" s="545" t="s">
        <v>389</v>
      </c>
      <c r="N346" s="545" t="s">
        <v>394</v>
      </c>
    </row>
    <row r="347" spans="2:14" x14ac:dyDescent="0.2">
      <c r="B347" s="572" t="s">
        <v>429</v>
      </c>
      <c r="C347" s="1149">
        <f>C342</f>
        <v>15</v>
      </c>
      <c r="D347" s="779" t="s">
        <v>530</v>
      </c>
      <c r="E347" s="778" t="s">
        <v>401</v>
      </c>
      <c r="L347" s="546">
        <v>0</v>
      </c>
      <c r="M347" s="545" t="s">
        <v>389</v>
      </c>
      <c r="N347" s="545" t="s">
        <v>394</v>
      </c>
    </row>
    <row r="348" spans="2:14" x14ac:dyDescent="0.2">
      <c r="B348" s="572" t="s">
        <v>430</v>
      </c>
      <c r="C348" s="1149">
        <f>C343</f>
        <v>15</v>
      </c>
      <c r="D348" s="779" t="s">
        <v>530</v>
      </c>
      <c r="E348" s="778" t="s">
        <v>401</v>
      </c>
      <c r="L348" s="546">
        <v>0</v>
      </c>
      <c r="M348" s="545" t="s">
        <v>389</v>
      </c>
      <c r="N348" s="545" t="s">
        <v>394</v>
      </c>
    </row>
    <row r="349" spans="2:14" x14ac:dyDescent="0.2">
      <c r="B349" s="778" t="s">
        <v>425</v>
      </c>
      <c r="C349" s="1149">
        <v>3</v>
      </c>
      <c r="D349" s="779" t="s">
        <v>530</v>
      </c>
      <c r="E349" s="778" t="s">
        <v>550</v>
      </c>
      <c r="L349" s="546">
        <v>0</v>
      </c>
      <c r="M349" s="545" t="s">
        <v>389</v>
      </c>
      <c r="N349" s="545" t="s">
        <v>393</v>
      </c>
    </row>
    <row r="350" spans="2:14" x14ac:dyDescent="0.2">
      <c r="B350" s="778" t="s">
        <v>749</v>
      </c>
      <c r="C350" s="1199">
        <v>0</v>
      </c>
      <c r="D350" s="779" t="s">
        <v>530</v>
      </c>
      <c r="E350" s="778" t="s">
        <v>550</v>
      </c>
    </row>
    <row r="351" spans="2:14" x14ac:dyDescent="0.2">
      <c r="B351" s="778" t="s">
        <v>713</v>
      </c>
      <c r="C351" s="1149">
        <v>3</v>
      </c>
      <c r="D351" s="779" t="s">
        <v>530</v>
      </c>
      <c r="E351" s="778" t="s">
        <v>550</v>
      </c>
      <c r="L351" s="546">
        <v>0</v>
      </c>
      <c r="M351" s="545" t="s">
        <v>389</v>
      </c>
      <c r="N351" s="545" t="s">
        <v>393</v>
      </c>
    </row>
    <row r="352" spans="2:14" x14ac:dyDescent="0.2">
      <c r="B352" s="778" t="s">
        <v>518</v>
      </c>
      <c r="C352" s="1199">
        <v>0</v>
      </c>
      <c r="D352" s="779" t="s">
        <v>530</v>
      </c>
      <c r="E352" s="778" t="s">
        <v>550</v>
      </c>
      <c r="L352" s="546">
        <v>0</v>
      </c>
      <c r="M352" s="545" t="s">
        <v>389</v>
      </c>
      <c r="N352" s="545" t="s">
        <v>393</v>
      </c>
    </row>
    <row r="353" spans="2:14" x14ac:dyDescent="0.2">
      <c r="B353" s="778" t="s">
        <v>583</v>
      </c>
      <c r="C353" s="1149">
        <v>15</v>
      </c>
      <c r="D353" s="779" t="s">
        <v>530</v>
      </c>
      <c r="E353" s="778" t="s">
        <v>550</v>
      </c>
      <c r="L353" s="546">
        <v>0</v>
      </c>
      <c r="M353" s="545" t="s">
        <v>389</v>
      </c>
      <c r="N353" s="545" t="s">
        <v>393</v>
      </c>
    </row>
    <row r="354" spans="2:14" x14ac:dyDescent="0.2">
      <c r="B354" s="778" t="s">
        <v>584</v>
      </c>
      <c r="C354" s="1149">
        <v>15</v>
      </c>
      <c r="D354" s="779" t="s">
        <v>530</v>
      </c>
      <c r="E354" s="778" t="s">
        <v>550</v>
      </c>
      <c r="L354" s="546">
        <v>0</v>
      </c>
      <c r="M354" s="545" t="s">
        <v>389</v>
      </c>
      <c r="N354" s="545" t="s">
        <v>393</v>
      </c>
    </row>
    <row r="355" spans="2:14" x14ac:dyDescent="0.2">
      <c r="B355" s="778" t="s">
        <v>427</v>
      </c>
      <c r="C355" s="1149">
        <v>14</v>
      </c>
      <c r="D355" s="779" t="s">
        <v>530</v>
      </c>
      <c r="E355" s="778" t="s">
        <v>550</v>
      </c>
      <c r="K355" s="544">
        <v>4</v>
      </c>
      <c r="L355" s="546">
        <v>0</v>
      </c>
      <c r="M355" s="545" t="s">
        <v>389</v>
      </c>
      <c r="N355" s="545" t="s">
        <v>394</v>
      </c>
    </row>
    <row r="356" spans="2:14" x14ac:dyDescent="0.2">
      <c r="B356" s="572" t="s">
        <v>428</v>
      </c>
      <c r="C356" s="1149">
        <f>C349</f>
        <v>3</v>
      </c>
      <c r="D356" s="779" t="s">
        <v>530</v>
      </c>
      <c r="E356" s="778" t="s">
        <v>550</v>
      </c>
      <c r="L356" s="546">
        <v>0</v>
      </c>
      <c r="M356" s="545" t="s">
        <v>389</v>
      </c>
      <c r="N356" s="545" t="s">
        <v>394</v>
      </c>
    </row>
    <row r="357" spans="2:14" x14ac:dyDescent="0.2">
      <c r="B357" s="572" t="s">
        <v>714</v>
      </c>
      <c r="C357" s="1149">
        <f>C351</f>
        <v>3</v>
      </c>
      <c r="D357" s="779" t="s">
        <v>530</v>
      </c>
      <c r="E357" s="778" t="s">
        <v>550</v>
      </c>
      <c r="L357" s="546">
        <v>0</v>
      </c>
      <c r="M357" s="545" t="s">
        <v>389</v>
      </c>
      <c r="N357" s="545" t="s">
        <v>394</v>
      </c>
    </row>
    <row r="358" spans="2:14" x14ac:dyDescent="0.2">
      <c r="B358" s="572" t="s">
        <v>585</v>
      </c>
      <c r="C358" s="1149">
        <f>C353</f>
        <v>15</v>
      </c>
      <c r="D358" s="779" t="s">
        <v>530</v>
      </c>
      <c r="E358" s="778" t="s">
        <v>550</v>
      </c>
      <c r="L358" s="546">
        <v>0</v>
      </c>
      <c r="M358" s="545" t="s">
        <v>389</v>
      </c>
      <c r="N358" s="545" t="s">
        <v>394</v>
      </c>
    </row>
    <row r="359" spans="2:14" x14ac:dyDescent="0.2">
      <c r="B359" s="572" t="s">
        <v>429</v>
      </c>
      <c r="C359" s="1149">
        <f>C354</f>
        <v>15</v>
      </c>
      <c r="D359" s="779" t="s">
        <v>530</v>
      </c>
      <c r="E359" s="778" t="s">
        <v>550</v>
      </c>
      <c r="L359" s="546">
        <v>0</v>
      </c>
      <c r="M359" s="545" t="s">
        <v>389</v>
      </c>
      <c r="N359" s="545" t="s">
        <v>394</v>
      </c>
    </row>
    <row r="360" spans="2:14" x14ac:dyDescent="0.2">
      <c r="B360" s="572" t="s">
        <v>430</v>
      </c>
      <c r="C360" s="1149">
        <f>C355</f>
        <v>14</v>
      </c>
      <c r="D360" s="779" t="s">
        <v>530</v>
      </c>
      <c r="E360" s="778" t="s">
        <v>550</v>
      </c>
      <c r="L360" s="546">
        <v>0</v>
      </c>
      <c r="M360" s="545" t="s">
        <v>389</v>
      </c>
      <c r="N360" s="545" t="s">
        <v>394</v>
      </c>
    </row>
    <row r="361" spans="2:14" x14ac:dyDescent="0.2">
      <c r="B361" s="778" t="s">
        <v>425</v>
      </c>
      <c r="C361" s="1149">
        <v>7</v>
      </c>
      <c r="D361" s="779" t="s">
        <v>530</v>
      </c>
      <c r="E361" s="778" t="s">
        <v>451</v>
      </c>
      <c r="L361" s="546">
        <v>0</v>
      </c>
      <c r="M361" s="545" t="s">
        <v>389</v>
      </c>
      <c r="N361" s="545" t="s">
        <v>393</v>
      </c>
    </row>
    <row r="362" spans="2:14" x14ac:dyDescent="0.2">
      <c r="B362" s="778" t="s">
        <v>749</v>
      </c>
      <c r="C362" s="1199">
        <v>0</v>
      </c>
      <c r="D362" s="779" t="s">
        <v>530</v>
      </c>
      <c r="E362" s="778" t="s">
        <v>451</v>
      </c>
    </row>
    <row r="363" spans="2:14" x14ac:dyDescent="0.2">
      <c r="B363" s="778" t="s">
        <v>713</v>
      </c>
      <c r="C363" s="1149">
        <v>7</v>
      </c>
      <c r="D363" s="779" t="s">
        <v>530</v>
      </c>
      <c r="E363" s="778" t="s">
        <v>451</v>
      </c>
      <c r="L363" s="546">
        <v>0</v>
      </c>
      <c r="M363" s="545" t="s">
        <v>389</v>
      </c>
      <c r="N363" s="545" t="s">
        <v>393</v>
      </c>
    </row>
    <row r="364" spans="2:14" x14ac:dyDescent="0.2">
      <c r="B364" s="778" t="s">
        <v>518</v>
      </c>
      <c r="C364" s="1199">
        <v>0</v>
      </c>
      <c r="D364" s="779" t="s">
        <v>530</v>
      </c>
      <c r="E364" s="778" t="s">
        <v>451</v>
      </c>
      <c r="L364" s="546">
        <v>0</v>
      </c>
      <c r="M364" s="545" t="s">
        <v>389</v>
      </c>
      <c r="N364" s="545" t="s">
        <v>393</v>
      </c>
    </row>
    <row r="365" spans="2:14" x14ac:dyDescent="0.2">
      <c r="B365" s="778" t="s">
        <v>583</v>
      </c>
      <c r="C365" s="1149">
        <v>24</v>
      </c>
      <c r="D365" s="779" t="s">
        <v>530</v>
      </c>
      <c r="E365" s="778" t="s">
        <v>451</v>
      </c>
      <c r="L365" s="546">
        <v>0</v>
      </c>
      <c r="M365" s="545" t="s">
        <v>389</v>
      </c>
      <c r="N365" s="545" t="s">
        <v>393</v>
      </c>
    </row>
    <row r="366" spans="2:14" x14ac:dyDescent="0.2">
      <c r="B366" s="778" t="s">
        <v>584</v>
      </c>
      <c r="C366" s="1149">
        <v>19</v>
      </c>
      <c r="D366" s="779" t="s">
        <v>530</v>
      </c>
      <c r="E366" s="778" t="s">
        <v>451</v>
      </c>
      <c r="L366" s="546">
        <v>0</v>
      </c>
      <c r="M366" s="545" t="s">
        <v>389</v>
      </c>
      <c r="N366" s="545" t="s">
        <v>393</v>
      </c>
    </row>
    <row r="367" spans="2:14" x14ac:dyDescent="0.2">
      <c r="B367" s="778" t="s">
        <v>427</v>
      </c>
      <c r="C367" s="1149">
        <v>19</v>
      </c>
      <c r="D367" s="779" t="s">
        <v>530</v>
      </c>
      <c r="E367" s="778" t="s">
        <v>451</v>
      </c>
      <c r="K367" s="544">
        <v>4</v>
      </c>
      <c r="L367" s="546">
        <v>0</v>
      </c>
      <c r="M367" s="545" t="s">
        <v>389</v>
      </c>
      <c r="N367" s="545" t="s">
        <v>394</v>
      </c>
    </row>
    <row r="368" spans="2:14" x14ac:dyDescent="0.2">
      <c r="B368" s="572" t="s">
        <v>428</v>
      </c>
      <c r="C368" s="1149">
        <f>C361</f>
        <v>7</v>
      </c>
      <c r="D368" s="779" t="s">
        <v>530</v>
      </c>
      <c r="E368" s="778" t="s">
        <v>451</v>
      </c>
      <c r="L368" s="546">
        <v>0</v>
      </c>
      <c r="M368" s="545" t="s">
        <v>389</v>
      </c>
      <c r="N368" s="545" t="s">
        <v>394</v>
      </c>
    </row>
    <row r="369" spans="2:14" x14ac:dyDescent="0.2">
      <c r="B369" s="572" t="s">
        <v>714</v>
      </c>
      <c r="C369" s="1149">
        <f>C363</f>
        <v>7</v>
      </c>
      <c r="D369" s="779" t="s">
        <v>530</v>
      </c>
      <c r="E369" s="778" t="s">
        <v>451</v>
      </c>
      <c r="L369" s="546">
        <v>0</v>
      </c>
      <c r="M369" s="545" t="s">
        <v>389</v>
      </c>
      <c r="N369" s="545" t="s">
        <v>394</v>
      </c>
    </row>
    <row r="370" spans="2:14" x14ac:dyDescent="0.2">
      <c r="B370" s="572" t="s">
        <v>585</v>
      </c>
      <c r="C370" s="1149">
        <f>C365</f>
        <v>24</v>
      </c>
      <c r="D370" s="779" t="s">
        <v>530</v>
      </c>
      <c r="E370" s="778" t="s">
        <v>451</v>
      </c>
      <c r="L370" s="546">
        <v>0</v>
      </c>
      <c r="M370" s="545" t="s">
        <v>389</v>
      </c>
      <c r="N370" s="545" t="s">
        <v>394</v>
      </c>
    </row>
    <row r="371" spans="2:14" x14ac:dyDescent="0.2">
      <c r="B371" s="572" t="s">
        <v>429</v>
      </c>
      <c r="C371" s="1149">
        <f>C366</f>
        <v>19</v>
      </c>
      <c r="D371" s="779" t="s">
        <v>530</v>
      </c>
      <c r="E371" s="778" t="s">
        <v>451</v>
      </c>
      <c r="L371" s="546">
        <v>0</v>
      </c>
      <c r="M371" s="545" t="s">
        <v>389</v>
      </c>
      <c r="N371" s="545" t="s">
        <v>394</v>
      </c>
    </row>
    <row r="372" spans="2:14" x14ac:dyDescent="0.2">
      <c r="B372" s="572" t="s">
        <v>430</v>
      </c>
      <c r="C372" s="1149">
        <f>C367</f>
        <v>19</v>
      </c>
      <c r="D372" s="779" t="s">
        <v>530</v>
      </c>
      <c r="E372" s="778" t="s">
        <v>451</v>
      </c>
      <c r="L372" s="546">
        <v>0</v>
      </c>
      <c r="M372" s="545" t="s">
        <v>389</v>
      </c>
      <c r="N372" s="545" t="s">
        <v>394</v>
      </c>
    </row>
    <row r="373" spans="2:14" x14ac:dyDescent="0.2">
      <c r="B373" s="778" t="s">
        <v>425</v>
      </c>
      <c r="C373" s="1149">
        <v>7</v>
      </c>
      <c r="D373" s="779" t="s">
        <v>530</v>
      </c>
      <c r="E373" s="778" t="s">
        <v>454</v>
      </c>
      <c r="L373" s="546">
        <v>0</v>
      </c>
      <c r="M373" s="545" t="s">
        <v>389</v>
      </c>
      <c r="N373" s="545" t="s">
        <v>393</v>
      </c>
    </row>
    <row r="374" spans="2:14" x14ac:dyDescent="0.2">
      <c r="B374" s="778" t="s">
        <v>749</v>
      </c>
      <c r="C374" s="1199">
        <v>0</v>
      </c>
      <c r="D374" s="779" t="s">
        <v>530</v>
      </c>
      <c r="E374" s="778" t="s">
        <v>454</v>
      </c>
    </row>
    <row r="375" spans="2:14" x14ac:dyDescent="0.2">
      <c r="B375" s="778" t="s">
        <v>713</v>
      </c>
      <c r="C375" s="1149">
        <v>7</v>
      </c>
      <c r="D375" s="779" t="s">
        <v>530</v>
      </c>
      <c r="E375" s="778" t="s">
        <v>454</v>
      </c>
      <c r="L375" s="546">
        <v>0</v>
      </c>
      <c r="M375" s="545" t="s">
        <v>389</v>
      </c>
      <c r="N375" s="545" t="s">
        <v>393</v>
      </c>
    </row>
    <row r="376" spans="2:14" x14ac:dyDescent="0.2">
      <c r="B376" s="778" t="s">
        <v>518</v>
      </c>
      <c r="C376" s="1199">
        <v>0</v>
      </c>
      <c r="D376" s="779" t="s">
        <v>530</v>
      </c>
      <c r="E376" s="778" t="s">
        <v>454</v>
      </c>
      <c r="L376" s="546">
        <v>0</v>
      </c>
      <c r="M376" s="545" t="s">
        <v>389</v>
      </c>
      <c r="N376" s="545" t="s">
        <v>393</v>
      </c>
    </row>
    <row r="377" spans="2:14" x14ac:dyDescent="0.2">
      <c r="B377" s="778" t="s">
        <v>583</v>
      </c>
      <c r="C377" s="1149">
        <v>24</v>
      </c>
      <c r="D377" s="779" t="s">
        <v>530</v>
      </c>
      <c r="E377" s="778" t="s">
        <v>454</v>
      </c>
      <c r="L377" s="546">
        <v>0</v>
      </c>
      <c r="M377" s="545" t="s">
        <v>389</v>
      </c>
      <c r="N377" s="545" t="s">
        <v>393</v>
      </c>
    </row>
    <row r="378" spans="2:14" x14ac:dyDescent="0.2">
      <c r="B378" s="778" t="s">
        <v>584</v>
      </c>
      <c r="C378" s="1149">
        <v>24</v>
      </c>
      <c r="D378" s="779" t="s">
        <v>530</v>
      </c>
      <c r="E378" s="778" t="s">
        <v>454</v>
      </c>
      <c r="L378" s="546">
        <v>0</v>
      </c>
      <c r="M378" s="545" t="s">
        <v>389</v>
      </c>
      <c r="N378" s="545" t="s">
        <v>393</v>
      </c>
    </row>
    <row r="379" spans="2:14" x14ac:dyDescent="0.2">
      <c r="B379" s="778" t="s">
        <v>427</v>
      </c>
      <c r="C379" s="1149">
        <v>24</v>
      </c>
      <c r="D379" s="779" t="s">
        <v>530</v>
      </c>
      <c r="E379" s="778" t="s">
        <v>454</v>
      </c>
      <c r="K379" s="544">
        <v>4</v>
      </c>
      <c r="L379" s="546">
        <v>0</v>
      </c>
      <c r="M379" s="545" t="s">
        <v>389</v>
      </c>
      <c r="N379" s="545" t="s">
        <v>394</v>
      </c>
    </row>
    <row r="380" spans="2:14" x14ac:dyDescent="0.2">
      <c r="B380" s="572" t="s">
        <v>428</v>
      </c>
      <c r="C380" s="1149">
        <f>C373</f>
        <v>7</v>
      </c>
      <c r="D380" s="779" t="s">
        <v>530</v>
      </c>
      <c r="E380" s="778" t="s">
        <v>454</v>
      </c>
      <c r="L380" s="546">
        <v>0</v>
      </c>
      <c r="M380" s="545" t="s">
        <v>389</v>
      </c>
      <c r="N380" s="545" t="s">
        <v>394</v>
      </c>
    </row>
    <row r="381" spans="2:14" x14ac:dyDescent="0.2">
      <c r="B381" s="572" t="s">
        <v>714</v>
      </c>
      <c r="C381" s="1149">
        <f>C375</f>
        <v>7</v>
      </c>
      <c r="D381" s="779" t="s">
        <v>530</v>
      </c>
      <c r="E381" s="778" t="s">
        <v>454</v>
      </c>
      <c r="L381" s="546">
        <v>0</v>
      </c>
      <c r="M381" s="545" t="s">
        <v>389</v>
      </c>
      <c r="N381" s="545" t="s">
        <v>394</v>
      </c>
    </row>
    <row r="382" spans="2:14" x14ac:dyDescent="0.2">
      <c r="B382" s="572" t="s">
        <v>585</v>
      </c>
      <c r="C382" s="1149">
        <f>C377</f>
        <v>24</v>
      </c>
      <c r="D382" s="779" t="s">
        <v>530</v>
      </c>
      <c r="E382" s="778" t="s">
        <v>454</v>
      </c>
      <c r="L382" s="546">
        <v>0</v>
      </c>
      <c r="M382" s="545" t="s">
        <v>389</v>
      </c>
      <c r="N382" s="545" t="s">
        <v>394</v>
      </c>
    </row>
    <row r="383" spans="2:14" x14ac:dyDescent="0.2">
      <c r="B383" s="572" t="s">
        <v>429</v>
      </c>
      <c r="C383" s="1149">
        <f>C378</f>
        <v>24</v>
      </c>
      <c r="D383" s="779" t="s">
        <v>530</v>
      </c>
      <c r="E383" s="778" t="s">
        <v>454</v>
      </c>
      <c r="L383" s="546">
        <v>0</v>
      </c>
      <c r="M383" s="545" t="s">
        <v>389</v>
      </c>
      <c r="N383" s="545" t="s">
        <v>394</v>
      </c>
    </row>
    <row r="384" spans="2:14" x14ac:dyDescent="0.2">
      <c r="B384" s="572" t="s">
        <v>430</v>
      </c>
      <c r="C384" s="1149">
        <f>C379</f>
        <v>24</v>
      </c>
      <c r="D384" s="779" t="s">
        <v>530</v>
      </c>
      <c r="E384" s="778" t="s">
        <v>454</v>
      </c>
      <c r="L384" s="546">
        <v>0</v>
      </c>
      <c r="M384" s="545" t="s">
        <v>389</v>
      </c>
      <c r="N384" s="545" t="s">
        <v>394</v>
      </c>
    </row>
    <row r="385" spans="2:14" x14ac:dyDescent="0.2">
      <c r="B385" s="778" t="s">
        <v>425</v>
      </c>
      <c r="C385" s="1199">
        <v>0</v>
      </c>
      <c r="D385" s="779" t="s">
        <v>530</v>
      </c>
      <c r="E385" s="778" t="s">
        <v>551</v>
      </c>
      <c r="L385" s="546">
        <v>0</v>
      </c>
      <c r="M385" s="545" t="s">
        <v>389</v>
      </c>
      <c r="N385" s="545" t="s">
        <v>393</v>
      </c>
    </row>
    <row r="386" spans="2:14" x14ac:dyDescent="0.2">
      <c r="B386" s="778" t="s">
        <v>749</v>
      </c>
      <c r="C386" s="1199">
        <v>0</v>
      </c>
      <c r="D386" s="779" t="s">
        <v>530</v>
      </c>
      <c r="E386" s="778" t="s">
        <v>551</v>
      </c>
    </row>
    <row r="387" spans="2:14" x14ac:dyDescent="0.2">
      <c r="B387" s="778" t="s">
        <v>713</v>
      </c>
      <c r="C387" s="1199">
        <v>0</v>
      </c>
      <c r="D387" s="779" t="s">
        <v>530</v>
      </c>
      <c r="E387" s="778" t="s">
        <v>551</v>
      </c>
      <c r="L387" s="546">
        <v>0</v>
      </c>
      <c r="M387" s="545" t="s">
        <v>389</v>
      </c>
      <c r="N387" s="545" t="s">
        <v>393</v>
      </c>
    </row>
    <row r="388" spans="2:14" x14ac:dyDescent="0.2">
      <c r="B388" s="778" t="s">
        <v>518</v>
      </c>
      <c r="C388" s="1199">
        <v>0</v>
      </c>
      <c r="D388" s="779" t="s">
        <v>530</v>
      </c>
      <c r="E388" s="778" t="s">
        <v>551</v>
      </c>
      <c r="L388" s="546">
        <v>0</v>
      </c>
      <c r="M388" s="545" t="s">
        <v>389</v>
      </c>
      <c r="N388" s="545" t="s">
        <v>393</v>
      </c>
    </row>
    <row r="389" spans="2:14" x14ac:dyDescent="0.2">
      <c r="B389" s="778" t="s">
        <v>583</v>
      </c>
      <c r="C389" s="1149">
        <v>10</v>
      </c>
      <c r="D389" s="779" t="s">
        <v>530</v>
      </c>
      <c r="E389" s="778" t="s">
        <v>551</v>
      </c>
      <c r="L389" s="546">
        <v>0</v>
      </c>
      <c r="M389" s="545" t="s">
        <v>389</v>
      </c>
      <c r="N389" s="545" t="s">
        <v>393</v>
      </c>
    </row>
    <row r="390" spans="2:14" x14ac:dyDescent="0.2">
      <c r="B390" s="778" t="s">
        <v>584</v>
      </c>
      <c r="C390" s="1149">
        <v>10</v>
      </c>
      <c r="D390" s="779" t="s">
        <v>530</v>
      </c>
      <c r="E390" s="778" t="s">
        <v>551</v>
      </c>
      <c r="L390" s="546">
        <v>0</v>
      </c>
      <c r="M390" s="545" t="s">
        <v>389</v>
      </c>
      <c r="N390" s="545" t="s">
        <v>393</v>
      </c>
    </row>
    <row r="391" spans="2:14" x14ac:dyDescent="0.2">
      <c r="B391" s="778" t="s">
        <v>427</v>
      </c>
      <c r="C391" s="1149">
        <v>13</v>
      </c>
      <c r="D391" s="779" t="s">
        <v>530</v>
      </c>
      <c r="E391" s="778" t="s">
        <v>551</v>
      </c>
      <c r="K391" s="544">
        <v>4</v>
      </c>
      <c r="L391" s="546">
        <v>0</v>
      </c>
      <c r="M391" s="545" t="s">
        <v>389</v>
      </c>
      <c r="N391" s="545" t="s">
        <v>394</v>
      </c>
    </row>
    <row r="392" spans="2:14" x14ac:dyDescent="0.2">
      <c r="B392" s="572" t="s">
        <v>428</v>
      </c>
      <c r="C392" s="1199">
        <f>C385</f>
        <v>0</v>
      </c>
      <c r="D392" s="779" t="s">
        <v>530</v>
      </c>
      <c r="E392" s="778" t="s">
        <v>551</v>
      </c>
      <c r="L392" s="546">
        <v>0</v>
      </c>
      <c r="M392" s="545" t="s">
        <v>389</v>
      </c>
      <c r="N392" s="545" t="s">
        <v>394</v>
      </c>
    </row>
    <row r="393" spans="2:14" x14ac:dyDescent="0.2">
      <c r="B393" s="572" t="s">
        <v>714</v>
      </c>
      <c r="C393" s="1199">
        <f>C387</f>
        <v>0</v>
      </c>
      <c r="D393" s="779" t="s">
        <v>530</v>
      </c>
      <c r="E393" s="778" t="s">
        <v>551</v>
      </c>
      <c r="L393" s="546">
        <v>0</v>
      </c>
      <c r="M393" s="545" t="s">
        <v>389</v>
      </c>
      <c r="N393" s="545" t="s">
        <v>394</v>
      </c>
    </row>
    <row r="394" spans="2:14" x14ac:dyDescent="0.2">
      <c r="B394" s="572" t="s">
        <v>585</v>
      </c>
      <c r="C394" s="1149">
        <f>C389</f>
        <v>10</v>
      </c>
      <c r="D394" s="779" t="s">
        <v>530</v>
      </c>
      <c r="E394" s="778" t="s">
        <v>551</v>
      </c>
      <c r="L394" s="546">
        <v>0</v>
      </c>
      <c r="M394" s="545" t="s">
        <v>389</v>
      </c>
      <c r="N394" s="545" t="s">
        <v>394</v>
      </c>
    </row>
    <row r="395" spans="2:14" x14ac:dyDescent="0.2">
      <c r="B395" s="572" t="s">
        <v>429</v>
      </c>
      <c r="C395" s="1149">
        <f>C390</f>
        <v>10</v>
      </c>
      <c r="D395" s="779" t="s">
        <v>530</v>
      </c>
      <c r="E395" s="778" t="s">
        <v>551</v>
      </c>
      <c r="L395" s="546">
        <v>0</v>
      </c>
      <c r="M395" s="545" t="s">
        <v>389</v>
      </c>
      <c r="N395" s="545" t="s">
        <v>394</v>
      </c>
    </row>
    <row r="396" spans="2:14" x14ac:dyDescent="0.2">
      <c r="B396" s="572" t="s">
        <v>430</v>
      </c>
      <c r="C396" s="1149">
        <f>C391</f>
        <v>13</v>
      </c>
      <c r="D396" s="779" t="s">
        <v>530</v>
      </c>
      <c r="E396" s="778" t="s">
        <v>551</v>
      </c>
      <c r="L396" s="546">
        <v>0</v>
      </c>
      <c r="M396" s="545" t="s">
        <v>389</v>
      </c>
      <c r="N396" s="545" t="s">
        <v>394</v>
      </c>
    </row>
    <row r="397" spans="2:14" x14ac:dyDescent="0.2">
      <c r="B397" s="778" t="s">
        <v>425</v>
      </c>
      <c r="C397" s="1199">
        <v>0</v>
      </c>
      <c r="D397" s="779" t="s">
        <v>530</v>
      </c>
      <c r="E397" s="778" t="s">
        <v>552</v>
      </c>
      <c r="L397" s="546">
        <v>0</v>
      </c>
      <c r="M397" s="545" t="s">
        <v>389</v>
      </c>
      <c r="N397" s="545" t="s">
        <v>393</v>
      </c>
    </row>
    <row r="398" spans="2:14" x14ac:dyDescent="0.2">
      <c r="B398" s="778" t="s">
        <v>749</v>
      </c>
      <c r="C398" s="1199">
        <v>0</v>
      </c>
      <c r="D398" s="779" t="s">
        <v>530</v>
      </c>
      <c r="E398" s="778" t="s">
        <v>552</v>
      </c>
    </row>
    <row r="399" spans="2:14" x14ac:dyDescent="0.2">
      <c r="B399" s="778" t="s">
        <v>713</v>
      </c>
      <c r="C399" s="1199">
        <v>0</v>
      </c>
      <c r="D399" s="779" t="s">
        <v>530</v>
      </c>
      <c r="E399" s="778" t="s">
        <v>552</v>
      </c>
      <c r="L399" s="546">
        <v>0</v>
      </c>
      <c r="M399" s="545" t="s">
        <v>389</v>
      </c>
      <c r="N399" s="545" t="s">
        <v>393</v>
      </c>
    </row>
    <row r="400" spans="2:14" x14ac:dyDescent="0.2">
      <c r="B400" s="778" t="s">
        <v>518</v>
      </c>
      <c r="C400" s="1199">
        <v>0</v>
      </c>
      <c r="D400" s="779" t="s">
        <v>530</v>
      </c>
      <c r="E400" s="778" t="s">
        <v>552</v>
      </c>
      <c r="L400" s="546">
        <v>0</v>
      </c>
      <c r="M400" s="545" t="s">
        <v>389</v>
      </c>
      <c r="N400" s="545" t="s">
        <v>393</v>
      </c>
    </row>
    <row r="401" spans="2:14" x14ac:dyDescent="0.2">
      <c r="B401" s="778" t="s">
        <v>583</v>
      </c>
      <c r="C401" s="1149">
        <v>10</v>
      </c>
      <c r="D401" s="779" t="s">
        <v>530</v>
      </c>
      <c r="E401" s="778" t="s">
        <v>552</v>
      </c>
      <c r="L401" s="546">
        <v>0</v>
      </c>
      <c r="M401" s="545" t="s">
        <v>389</v>
      </c>
      <c r="N401" s="545" t="s">
        <v>393</v>
      </c>
    </row>
    <row r="402" spans="2:14" x14ac:dyDescent="0.2">
      <c r="B402" s="778" t="s">
        <v>584</v>
      </c>
      <c r="C402" s="1149">
        <v>10</v>
      </c>
      <c r="D402" s="779" t="s">
        <v>530</v>
      </c>
      <c r="E402" s="778" t="s">
        <v>552</v>
      </c>
      <c r="L402" s="546">
        <v>0</v>
      </c>
      <c r="M402" s="545" t="s">
        <v>389</v>
      </c>
      <c r="N402" s="545" t="s">
        <v>393</v>
      </c>
    </row>
    <row r="403" spans="2:14" x14ac:dyDescent="0.2">
      <c r="B403" s="778" t="s">
        <v>427</v>
      </c>
      <c r="C403" s="1149">
        <v>16</v>
      </c>
      <c r="D403" s="779" t="s">
        <v>530</v>
      </c>
      <c r="E403" s="778" t="s">
        <v>552</v>
      </c>
      <c r="K403" s="544">
        <v>4</v>
      </c>
      <c r="L403" s="546">
        <v>0</v>
      </c>
      <c r="M403" s="545" t="s">
        <v>389</v>
      </c>
      <c r="N403" s="545" t="s">
        <v>394</v>
      </c>
    </row>
    <row r="404" spans="2:14" x14ac:dyDescent="0.2">
      <c r="B404" s="572" t="s">
        <v>428</v>
      </c>
      <c r="C404" s="1199">
        <f>C397</f>
        <v>0</v>
      </c>
      <c r="D404" s="779" t="s">
        <v>530</v>
      </c>
      <c r="E404" s="778" t="s">
        <v>552</v>
      </c>
      <c r="L404" s="546">
        <v>0</v>
      </c>
      <c r="M404" s="545" t="s">
        <v>389</v>
      </c>
      <c r="N404" s="545" t="s">
        <v>394</v>
      </c>
    </row>
    <row r="405" spans="2:14" x14ac:dyDescent="0.2">
      <c r="B405" s="572" t="s">
        <v>714</v>
      </c>
      <c r="C405" s="1199">
        <f>C399</f>
        <v>0</v>
      </c>
      <c r="D405" s="779" t="s">
        <v>530</v>
      </c>
      <c r="E405" s="778" t="s">
        <v>552</v>
      </c>
      <c r="L405" s="546">
        <v>0</v>
      </c>
      <c r="M405" s="545" t="s">
        <v>389</v>
      </c>
      <c r="N405" s="545" t="s">
        <v>394</v>
      </c>
    </row>
    <row r="406" spans="2:14" x14ac:dyDescent="0.2">
      <c r="B406" s="572" t="s">
        <v>585</v>
      </c>
      <c r="C406" s="1149">
        <f>C401</f>
        <v>10</v>
      </c>
      <c r="D406" s="779" t="s">
        <v>530</v>
      </c>
      <c r="E406" s="778" t="s">
        <v>552</v>
      </c>
      <c r="L406" s="546">
        <v>0</v>
      </c>
      <c r="M406" s="545" t="s">
        <v>389</v>
      </c>
      <c r="N406" s="545" t="s">
        <v>394</v>
      </c>
    </row>
    <row r="407" spans="2:14" x14ac:dyDescent="0.2">
      <c r="B407" s="572" t="s">
        <v>429</v>
      </c>
      <c r="C407" s="1149">
        <f>C402</f>
        <v>10</v>
      </c>
      <c r="D407" s="779" t="s">
        <v>530</v>
      </c>
      <c r="E407" s="778" t="s">
        <v>552</v>
      </c>
      <c r="L407" s="546">
        <v>0</v>
      </c>
      <c r="M407" s="545" t="s">
        <v>389</v>
      </c>
      <c r="N407" s="545" t="s">
        <v>394</v>
      </c>
    </row>
    <row r="408" spans="2:14" x14ac:dyDescent="0.2">
      <c r="B408" s="572" t="s">
        <v>430</v>
      </c>
      <c r="C408" s="1149">
        <f>C403</f>
        <v>16</v>
      </c>
      <c r="D408" s="779" t="s">
        <v>530</v>
      </c>
      <c r="E408" s="778" t="s">
        <v>552</v>
      </c>
      <c r="L408" s="546">
        <v>0</v>
      </c>
      <c r="M408" s="545" t="s">
        <v>389</v>
      </c>
      <c r="N408" s="545" t="s">
        <v>394</v>
      </c>
    </row>
    <row r="409" spans="2:14" x14ac:dyDescent="0.2">
      <c r="B409" s="777" t="s">
        <v>519</v>
      </c>
      <c r="C409" s="1200"/>
      <c r="D409" s="543"/>
      <c r="E409" s="543"/>
    </row>
    <row r="410" spans="2:14" x14ac:dyDescent="0.2">
      <c r="B410" s="778" t="s">
        <v>425</v>
      </c>
      <c r="C410" s="1199">
        <v>23</v>
      </c>
      <c r="D410" s="779" t="s">
        <v>530</v>
      </c>
      <c r="E410" s="778" t="s">
        <v>586</v>
      </c>
      <c r="L410" s="546">
        <v>0</v>
      </c>
      <c r="M410" s="545" t="s">
        <v>389</v>
      </c>
      <c r="N410" s="545" t="s">
        <v>393</v>
      </c>
    </row>
    <row r="411" spans="2:14" x14ac:dyDescent="0.2">
      <c r="B411" s="778" t="s">
        <v>749</v>
      </c>
      <c r="C411" s="1199">
        <v>26</v>
      </c>
      <c r="D411" s="779" t="s">
        <v>530</v>
      </c>
      <c r="E411" s="778" t="s">
        <v>586</v>
      </c>
    </row>
    <row r="412" spans="2:14" x14ac:dyDescent="0.2">
      <c r="B412" s="778" t="s">
        <v>713</v>
      </c>
      <c r="C412" s="1199">
        <v>27</v>
      </c>
      <c r="D412" s="779" t="s">
        <v>530</v>
      </c>
      <c r="E412" s="778" t="s">
        <v>586</v>
      </c>
      <c r="L412" s="546">
        <v>0</v>
      </c>
      <c r="M412" s="545" t="s">
        <v>389</v>
      </c>
      <c r="N412" s="545" t="s">
        <v>393</v>
      </c>
    </row>
    <row r="413" spans="2:14" x14ac:dyDescent="0.2">
      <c r="B413" s="778" t="s">
        <v>518</v>
      </c>
      <c r="C413" s="1199">
        <v>5</v>
      </c>
      <c r="D413" s="779" t="s">
        <v>530</v>
      </c>
      <c r="E413" s="778" t="s">
        <v>586</v>
      </c>
      <c r="L413" s="546">
        <v>0</v>
      </c>
      <c r="M413" s="545" t="s">
        <v>389</v>
      </c>
      <c r="N413" s="545" t="s">
        <v>393</v>
      </c>
    </row>
    <row r="414" spans="2:14" x14ac:dyDescent="0.2">
      <c r="B414" s="778" t="s">
        <v>583</v>
      </c>
      <c r="C414" s="1199">
        <v>28</v>
      </c>
      <c r="D414" s="779" t="s">
        <v>530</v>
      </c>
      <c r="E414" s="778" t="s">
        <v>586</v>
      </c>
      <c r="L414" s="546">
        <v>0</v>
      </c>
      <c r="M414" s="545" t="s">
        <v>389</v>
      </c>
      <c r="N414" s="545" t="s">
        <v>393</v>
      </c>
    </row>
    <row r="415" spans="2:14" x14ac:dyDescent="0.2">
      <c r="B415" s="778" t="s">
        <v>584</v>
      </c>
      <c r="C415" s="1199">
        <v>15</v>
      </c>
      <c r="D415" s="779" t="s">
        <v>530</v>
      </c>
      <c r="E415" s="778" t="s">
        <v>586</v>
      </c>
      <c r="L415" s="546">
        <v>0</v>
      </c>
      <c r="M415" s="545" t="s">
        <v>389</v>
      </c>
      <c r="N415" s="545" t="s">
        <v>393</v>
      </c>
    </row>
    <row r="416" spans="2:14" x14ac:dyDescent="0.2">
      <c r="B416" s="778" t="s">
        <v>427</v>
      </c>
      <c r="C416" s="1199">
        <v>19</v>
      </c>
      <c r="D416" s="779" t="s">
        <v>530</v>
      </c>
      <c r="E416" s="778" t="s">
        <v>586</v>
      </c>
      <c r="K416" s="544">
        <v>4</v>
      </c>
      <c r="L416" s="546">
        <v>0</v>
      </c>
      <c r="M416" s="545" t="s">
        <v>389</v>
      </c>
      <c r="N416" s="545" t="s">
        <v>394</v>
      </c>
    </row>
    <row r="417" spans="2:14" x14ac:dyDescent="0.2">
      <c r="B417" s="572" t="s">
        <v>428</v>
      </c>
      <c r="C417" s="1199">
        <f>C410</f>
        <v>23</v>
      </c>
      <c r="D417" s="779" t="s">
        <v>530</v>
      </c>
      <c r="E417" s="778" t="s">
        <v>586</v>
      </c>
      <c r="L417" s="546">
        <v>0</v>
      </c>
      <c r="M417" s="545" t="s">
        <v>389</v>
      </c>
      <c r="N417" s="545" t="s">
        <v>394</v>
      </c>
    </row>
    <row r="418" spans="2:14" x14ac:dyDescent="0.2">
      <c r="B418" s="572" t="s">
        <v>714</v>
      </c>
      <c r="C418" s="1199">
        <f>C412</f>
        <v>27</v>
      </c>
      <c r="D418" s="779" t="s">
        <v>530</v>
      </c>
      <c r="E418" s="778" t="s">
        <v>586</v>
      </c>
      <c r="L418" s="546">
        <v>0</v>
      </c>
      <c r="M418" s="545" t="s">
        <v>389</v>
      </c>
      <c r="N418" s="545" t="s">
        <v>394</v>
      </c>
    </row>
    <row r="419" spans="2:14" x14ac:dyDescent="0.2">
      <c r="B419" s="572" t="s">
        <v>585</v>
      </c>
      <c r="C419" s="1199">
        <f>C414</f>
        <v>28</v>
      </c>
      <c r="D419" s="779" t="s">
        <v>530</v>
      </c>
      <c r="E419" s="778" t="s">
        <v>586</v>
      </c>
      <c r="L419" s="546">
        <v>0</v>
      </c>
      <c r="M419" s="545" t="s">
        <v>389</v>
      </c>
      <c r="N419" s="545" t="s">
        <v>394</v>
      </c>
    </row>
    <row r="420" spans="2:14" x14ac:dyDescent="0.2">
      <c r="B420" s="572" t="s">
        <v>429</v>
      </c>
      <c r="C420" s="1199">
        <f>C415</f>
        <v>15</v>
      </c>
      <c r="D420" s="779" t="s">
        <v>530</v>
      </c>
      <c r="E420" s="778" t="s">
        <v>586</v>
      </c>
      <c r="L420" s="546">
        <v>0</v>
      </c>
      <c r="M420" s="545" t="s">
        <v>389</v>
      </c>
      <c r="N420" s="545" t="s">
        <v>394</v>
      </c>
    </row>
    <row r="421" spans="2:14" x14ac:dyDescent="0.2">
      <c r="B421" s="572" t="s">
        <v>430</v>
      </c>
      <c r="C421" s="1199">
        <f>C416</f>
        <v>19</v>
      </c>
      <c r="D421" s="779" t="s">
        <v>530</v>
      </c>
      <c r="E421" s="778" t="s">
        <v>586</v>
      </c>
      <c r="L421" s="546">
        <v>0</v>
      </c>
      <c r="M421" s="545" t="s">
        <v>389</v>
      </c>
      <c r="N421" s="545" t="s">
        <v>394</v>
      </c>
    </row>
    <row r="422" spans="2:14" x14ac:dyDescent="0.2">
      <c r="B422" s="778" t="s">
        <v>425</v>
      </c>
      <c r="C422" s="1199">
        <v>23</v>
      </c>
      <c r="D422" s="779" t="s">
        <v>530</v>
      </c>
      <c r="E422" s="778" t="s">
        <v>736</v>
      </c>
      <c r="L422" s="546">
        <v>0</v>
      </c>
      <c r="M422" s="545" t="s">
        <v>389</v>
      </c>
      <c r="N422" s="545" t="s">
        <v>393</v>
      </c>
    </row>
    <row r="423" spans="2:14" x14ac:dyDescent="0.2">
      <c r="B423" s="778" t="s">
        <v>749</v>
      </c>
      <c r="C423" s="1199">
        <v>22</v>
      </c>
      <c r="D423" s="779" t="s">
        <v>530</v>
      </c>
      <c r="E423" s="778" t="s">
        <v>736</v>
      </c>
    </row>
    <row r="424" spans="2:14" x14ac:dyDescent="0.2">
      <c r="B424" s="778" t="s">
        <v>713</v>
      </c>
      <c r="C424" s="1199">
        <v>22</v>
      </c>
      <c r="D424" s="779" t="s">
        <v>530</v>
      </c>
      <c r="E424" s="778" t="s">
        <v>736</v>
      </c>
      <c r="L424" s="546">
        <v>0</v>
      </c>
      <c r="M424" s="545" t="s">
        <v>389</v>
      </c>
      <c r="N424" s="545" t="s">
        <v>393</v>
      </c>
    </row>
    <row r="425" spans="2:14" x14ac:dyDescent="0.2">
      <c r="B425" s="778" t="s">
        <v>518</v>
      </c>
      <c r="C425" s="1199">
        <v>5</v>
      </c>
      <c r="D425" s="779" t="s">
        <v>530</v>
      </c>
      <c r="E425" s="778" t="s">
        <v>736</v>
      </c>
      <c r="L425" s="546">
        <v>0</v>
      </c>
      <c r="M425" s="545" t="s">
        <v>389</v>
      </c>
      <c r="N425" s="545" t="s">
        <v>393</v>
      </c>
    </row>
    <row r="426" spans="2:14" x14ac:dyDescent="0.2">
      <c r="B426" s="778" t="s">
        <v>583</v>
      </c>
      <c r="C426" s="1199">
        <v>28</v>
      </c>
      <c r="D426" s="779" t="s">
        <v>530</v>
      </c>
      <c r="E426" s="778" t="s">
        <v>736</v>
      </c>
      <c r="L426" s="546">
        <v>0</v>
      </c>
      <c r="M426" s="545" t="s">
        <v>389</v>
      </c>
      <c r="N426" s="545" t="s">
        <v>393</v>
      </c>
    </row>
    <row r="427" spans="2:14" x14ac:dyDescent="0.2">
      <c r="B427" s="778" t="s">
        <v>584</v>
      </c>
      <c r="C427" s="1199">
        <v>15</v>
      </c>
      <c r="D427" s="779" t="s">
        <v>530</v>
      </c>
      <c r="E427" s="778" t="s">
        <v>736</v>
      </c>
      <c r="L427" s="546">
        <v>0</v>
      </c>
      <c r="M427" s="545" t="s">
        <v>389</v>
      </c>
      <c r="N427" s="545" t="s">
        <v>393</v>
      </c>
    </row>
    <row r="428" spans="2:14" x14ac:dyDescent="0.2">
      <c r="B428" s="778" t="s">
        <v>427</v>
      </c>
      <c r="C428" s="1199">
        <v>19</v>
      </c>
      <c r="D428" s="779" t="s">
        <v>530</v>
      </c>
      <c r="E428" s="778" t="s">
        <v>736</v>
      </c>
      <c r="K428" s="544">
        <v>4</v>
      </c>
      <c r="L428" s="546">
        <v>0</v>
      </c>
      <c r="M428" s="545" t="s">
        <v>389</v>
      </c>
      <c r="N428" s="545" t="s">
        <v>394</v>
      </c>
    </row>
    <row r="429" spans="2:14" x14ac:dyDescent="0.2">
      <c r="B429" s="572" t="s">
        <v>428</v>
      </c>
      <c r="C429" s="1199">
        <f>C422</f>
        <v>23</v>
      </c>
      <c r="D429" s="779" t="s">
        <v>530</v>
      </c>
      <c r="E429" s="778" t="s">
        <v>736</v>
      </c>
      <c r="L429" s="546">
        <v>0</v>
      </c>
      <c r="M429" s="545" t="s">
        <v>389</v>
      </c>
      <c r="N429" s="545" t="s">
        <v>394</v>
      </c>
    </row>
    <row r="430" spans="2:14" x14ac:dyDescent="0.2">
      <c r="B430" s="572" t="s">
        <v>714</v>
      </c>
      <c r="C430" s="1199">
        <f>C424</f>
        <v>22</v>
      </c>
      <c r="D430" s="779" t="s">
        <v>530</v>
      </c>
      <c r="E430" s="778" t="s">
        <v>736</v>
      </c>
      <c r="L430" s="546">
        <v>0</v>
      </c>
      <c r="M430" s="545" t="s">
        <v>389</v>
      </c>
      <c r="N430" s="545" t="s">
        <v>394</v>
      </c>
    </row>
    <row r="431" spans="2:14" x14ac:dyDescent="0.2">
      <c r="B431" s="572" t="s">
        <v>585</v>
      </c>
      <c r="C431" s="1199">
        <f>C426</f>
        <v>28</v>
      </c>
      <c r="D431" s="779" t="s">
        <v>530</v>
      </c>
      <c r="E431" s="778" t="s">
        <v>736</v>
      </c>
      <c r="L431" s="546">
        <v>0</v>
      </c>
      <c r="M431" s="545" t="s">
        <v>389</v>
      </c>
      <c r="N431" s="545" t="s">
        <v>394</v>
      </c>
    </row>
    <row r="432" spans="2:14" x14ac:dyDescent="0.2">
      <c r="B432" s="572" t="s">
        <v>429</v>
      </c>
      <c r="C432" s="1199">
        <f>C427</f>
        <v>15</v>
      </c>
      <c r="D432" s="779" t="s">
        <v>530</v>
      </c>
      <c r="E432" s="778" t="s">
        <v>736</v>
      </c>
      <c r="L432" s="546">
        <v>0</v>
      </c>
      <c r="M432" s="545" t="s">
        <v>389</v>
      </c>
      <c r="N432" s="545" t="s">
        <v>394</v>
      </c>
    </row>
    <row r="433" spans="2:14" x14ac:dyDescent="0.2">
      <c r="B433" s="572" t="s">
        <v>430</v>
      </c>
      <c r="C433" s="1199">
        <f>C428</f>
        <v>19</v>
      </c>
      <c r="D433" s="779" t="s">
        <v>530</v>
      </c>
      <c r="E433" s="778" t="s">
        <v>736</v>
      </c>
      <c r="L433" s="546">
        <v>0</v>
      </c>
      <c r="M433" s="545" t="s">
        <v>389</v>
      </c>
      <c r="N433" s="545" t="s">
        <v>394</v>
      </c>
    </row>
    <row r="434" spans="2:14" x14ac:dyDescent="0.2">
      <c r="B434" s="778" t="s">
        <v>425</v>
      </c>
      <c r="C434" s="1199">
        <v>23</v>
      </c>
      <c r="D434" s="779" t="s">
        <v>530</v>
      </c>
      <c r="E434" s="778" t="s">
        <v>737</v>
      </c>
      <c r="L434" s="546">
        <v>0</v>
      </c>
      <c r="M434" s="545" t="s">
        <v>389</v>
      </c>
      <c r="N434" s="545" t="s">
        <v>393</v>
      </c>
    </row>
    <row r="435" spans="2:14" x14ac:dyDescent="0.2">
      <c r="B435" s="778" t="s">
        <v>749</v>
      </c>
      <c r="C435" s="1199">
        <v>14</v>
      </c>
      <c r="D435" s="779" t="s">
        <v>530</v>
      </c>
      <c r="E435" s="778" t="s">
        <v>737</v>
      </c>
    </row>
    <row r="436" spans="2:14" x14ac:dyDescent="0.2">
      <c r="B436" s="778" t="s">
        <v>713</v>
      </c>
      <c r="C436" s="1199">
        <v>13</v>
      </c>
      <c r="D436" s="779" t="s">
        <v>530</v>
      </c>
      <c r="E436" s="778" t="s">
        <v>737</v>
      </c>
      <c r="L436" s="546">
        <v>0</v>
      </c>
      <c r="M436" s="545" t="s">
        <v>389</v>
      </c>
      <c r="N436" s="545" t="s">
        <v>393</v>
      </c>
    </row>
    <row r="437" spans="2:14" x14ac:dyDescent="0.2">
      <c r="B437" s="778" t="s">
        <v>518</v>
      </c>
      <c r="C437" s="1199">
        <v>5</v>
      </c>
      <c r="D437" s="779" t="s">
        <v>530</v>
      </c>
      <c r="E437" s="778" t="s">
        <v>737</v>
      </c>
      <c r="L437" s="546">
        <v>0</v>
      </c>
      <c r="M437" s="545" t="s">
        <v>389</v>
      </c>
      <c r="N437" s="545" t="s">
        <v>393</v>
      </c>
    </row>
    <row r="438" spans="2:14" x14ac:dyDescent="0.2">
      <c r="B438" s="778" t="s">
        <v>583</v>
      </c>
      <c r="C438" s="1199">
        <v>24</v>
      </c>
      <c r="D438" s="779" t="s">
        <v>530</v>
      </c>
      <c r="E438" s="778" t="s">
        <v>737</v>
      </c>
      <c r="L438" s="546">
        <v>0</v>
      </c>
      <c r="M438" s="545" t="s">
        <v>389</v>
      </c>
      <c r="N438" s="545" t="s">
        <v>393</v>
      </c>
    </row>
    <row r="439" spans="2:14" x14ac:dyDescent="0.2">
      <c r="B439" s="778" t="s">
        <v>584</v>
      </c>
      <c r="C439" s="1199">
        <v>15</v>
      </c>
      <c r="D439" s="779" t="s">
        <v>530</v>
      </c>
      <c r="E439" s="778" t="s">
        <v>737</v>
      </c>
      <c r="L439" s="546">
        <v>0</v>
      </c>
      <c r="M439" s="545" t="s">
        <v>389</v>
      </c>
      <c r="N439" s="545" t="s">
        <v>393</v>
      </c>
    </row>
    <row r="440" spans="2:14" x14ac:dyDescent="0.2">
      <c r="B440" s="778" t="s">
        <v>427</v>
      </c>
      <c r="C440" s="1199">
        <v>18</v>
      </c>
      <c r="D440" s="779" t="s">
        <v>530</v>
      </c>
      <c r="E440" s="778" t="s">
        <v>737</v>
      </c>
      <c r="K440" s="544">
        <v>4</v>
      </c>
      <c r="L440" s="546">
        <v>0</v>
      </c>
      <c r="M440" s="545" t="s">
        <v>389</v>
      </c>
      <c r="N440" s="545" t="s">
        <v>394</v>
      </c>
    </row>
    <row r="441" spans="2:14" x14ac:dyDescent="0.2">
      <c r="B441" s="572" t="s">
        <v>428</v>
      </c>
      <c r="C441" s="1199">
        <f>C434</f>
        <v>23</v>
      </c>
      <c r="D441" s="779" t="s">
        <v>530</v>
      </c>
      <c r="E441" s="778" t="s">
        <v>737</v>
      </c>
      <c r="L441" s="546">
        <v>0</v>
      </c>
      <c r="M441" s="545" t="s">
        <v>389</v>
      </c>
      <c r="N441" s="545" t="s">
        <v>394</v>
      </c>
    </row>
    <row r="442" spans="2:14" x14ac:dyDescent="0.2">
      <c r="B442" s="572" t="s">
        <v>714</v>
      </c>
      <c r="C442" s="1199">
        <f>C436</f>
        <v>13</v>
      </c>
      <c r="D442" s="779" t="s">
        <v>530</v>
      </c>
      <c r="E442" s="778" t="s">
        <v>737</v>
      </c>
      <c r="L442" s="546">
        <v>0</v>
      </c>
      <c r="M442" s="545" t="s">
        <v>389</v>
      </c>
      <c r="N442" s="545" t="s">
        <v>394</v>
      </c>
    </row>
    <row r="443" spans="2:14" x14ac:dyDescent="0.2">
      <c r="B443" s="572" t="s">
        <v>585</v>
      </c>
      <c r="C443" s="1199">
        <f>C438</f>
        <v>24</v>
      </c>
      <c r="D443" s="779" t="s">
        <v>530</v>
      </c>
      <c r="E443" s="778" t="s">
        <v>737</v>
      </c>
      <c r="L443" s="546">
        <v>0</v>
      </c>
      <c r="M443" s="545" t="s">
        <v>389</v>
      </c>
      <c r="N443" s="545" t="s">
        <v>394</v>
      </c>
    </row>
    <row r="444" spans="2:14" x14ac:dyDescent="0.2">
      <c r="B444" s="572" t="s">
        <v>429</v>
      </c>
      <c r="C444" s="1199">
        <f>C439</f>
        <v>15</v>
      </c>
      <c r="D444" s="779" t="s">
        <v>530</v>
      </c>
      <c r="E444" s="778" t="s">
        <v>737</v>
      </c>
      <c r="L444" s="546">
        <v>0</v>
      </c>
      <c r="M444" s="545" t="s">
        <v>389</v>
      </c>
      <c r="N444" s="545" t="s">
        <v>394</v>
      </c>
    </row>
    <row r="445" spans="2:14" x14ac:dyDescent="0.2">
      <c r="B445" s="572" t="s">
        <v>430</v>
      </c>
      <c r="C445" s="1199">
        <f>C440</f>
        <v>18</v>
      </c>
      <c r="D445" s="779" t="s">
        <v>530</v>
      </c>
      <c r="E445" s="778" t="s">
        <v>737</v>
      </c>
      <c r="L445" s="546">
        <v>0</v>
      </c>
      <c r="M445" s="545" t="s">
        <v>389</v>
      </c>
      <c r="N445" s="545" t="s">
        <v>394</v>
      </c>
    </row>
    <row r="446" spans="2:14" x14ac:dyDescent="0.2">
      <c r="B446" s="778" t="s">
        <v>425</v>
      </c>
      <c r="C446" s="1199">
        <v>23</v>
      </c>
      <c r="D446" s="779" t="s">
        <v>530</v>
      </c>
      <c r="E446" s="778" t="s">
        <v>580</v>
      </c>
      <c r="L446" s="546">
        <v>0</v>
      </c>
      <c r="M446" s="545" t="s">
        <v>389</v>
      </c>
      <c r="N446" s="545" t="s">
        <v>393</v>
      </c>
    </row>
    <row r="447" spans="2:14" x14ac:dyDescent="0.2">
      <c r="B447" s="778" t="s">
        <v>749</v>
      </c>
      <c r="C447" s="1199">
        <v>23</v>
      </c>
      <c r="D447" s="779" t="s">
        <v>530</v>
      </c>
      <c r="E447" s="778" t="s">
        <v>580</v>
      </c>
    </row>
    <row r="448" spans="2:14" x14ac:dyDescent="0.2">
      <c r="B448" s="778" t="s">
        <v>713</v>
      </c>
      <c r="C448" s="1199">
        <v>27</v>
      </c>
      <c r="D448" s="779" t="s">
        <v>530</v>
      </c>
      <c r="E448" s="778" t="s">
        <v>580</v>
      </c>
      <c r="L448" s="546">
        <v>0</v>
      </c>
      <c r="M448" s="545" t="s">
        <v>389</v>
      </c>
      <c r="N448" s="545" t="s">
        <v>393</v>
      </c>
    </row>
    <row r="449" spans="2:14" x14ac:dyDescent="0.2">
      <c r="B449" s="778" t="s">
        <v>518</v>
      </c>
      <c r="C449" s="1199">
        <v>5</v>
      </c>
      <c r="D449" s="779" t="s">
        <v>530</v>
      </c>
      <c r="E449" s="778" t="s">
        <v>580</v>
      </c>
      <c r="L449" s="546">
        <v>0</v>
      </c>
      <c r="M449" s="545" t="s">
        <v>389</v>
      </c>
      <c r="N449" s="545" t="s">
        <v>393</v>
      </c>
    </row>
    <row r="450" spans="2:14" x14ac:dyDescent="0.2">
      <c r="B450" s="778" t="s">
        <v>583</v>
      </c>
      <c r="C450" s="1199">
        <v>35</v>
      </c>
      <c r="D450" s="779" t="s">
        <v>530</v>
      </c>
      <c r="E450" s="778" t="s">
        <v>580</v>
      </c>
      <c r="L450" s="546">
        <v>0</v>
      </c>
      <c r="M450" s="545" t="s">
        <v>389</v>
      </c>
      <c r="N450" s="545" t="s">
        <v>393</v>
      </c>
    </row>
    <row r="451" spans="2:14" x14ac:dyDescent="0.2">
      <c r="B451" s="778" t="s">
        <v>584</v>
      </c>
      <c r="C451" s="1199">
        <v>20</v>
      </c>
      <c r="D451" s="779" t="s">
        <v>530</v>
      </c>
      <c r="E451" s="778" t="s">
        <v>580</v>
      </c>
      <c r="L451" s="546">
        <v>0</v>
      </c>
      <c r="M451" s="545" t="s">
        <v>389</v>
      </c>
      <c r="N451" s="545" t="s">
        <v>393</v>
      </c>
    </row>
    <row r="452" spans="2:14" x14ac:dyDescent="0.2">
      <c r="B452" s="778" t="s">
        <v>427</v>
      </c>
      <c r="C452" s="1199">
        <v>31</v>
      </c>
      <c r="D452" s="779" t="s">
        <v>530</v>
      </c>
      <c r="E452" s="778" t="s">
        <v>580</v>
      </c>
      <c r="K452" s="544">
        <v>4</v>
      </c>
      <c r="L452" s="546">
        <v>0</v>
      </c>
      <c r="M452" s="545" t="s">
        <v>389</v>
      </c>
      <c r="N452" s="545" t="s">
        <v>394</v>
      </c>
    </row>
    <row r="453" spans="2:14" x14ac:dyDescent="0.2">
      <c r="B453" s="572" t="s">
        <v>428</v>
      </c>
      <c r="C453" s="1199">
        <f>C446</f>
        <v>23</v>
      </c>
      <c r="D453" s="779" t="s">
        <v>530</v>
      </c>
      <c r="E453" s="778" t="s">
        <v>580</v>
      </c>
      <c r="L453" s="546">
        <v>0</v>
      </c>
      <c r="M453" s="545" t="s">
        <v>389</v>
      </c>
      <c r="N453" s="545" t="s">
        <v>394</v>
      </c>
    </row>
    <row r="454" spans="2:14" x14ac:dyDescent="0.2">
      <c r="B454" s="572" t="s">
        <v>714</v>
      </c>
      <c r="C454" s="1199">
        <f>C448</f>
        <v>27</v>
      </c>
      <c r="D454" s="779" t="s">
        <v>530</v>
      </c>
      <c r="E454" s="778" t="s">
        <v>580</v>
      </c>
      <c r="L454" s="546">
        <v>0</v>
      </c>
      <c r="M454" s="545" t="s">
        <v>389</v>
      </c>
      <c r="N454" s="545" t="s">
        <v>394</v>
      </c>
    </row>
    <row r="455" spans="2:14" x14ac:dyDescent="0.2">
      <c r="B455" s="572" t="s">
        <v>585</v>
      </c>
      <c r="C455" s="1199">
        <f>C450</f>
        <v>35</v>
      </c>
      <c r="D455" s="779" t="s">
        <v>530</v>
      </c>
      <c r="E455" s="778" t="s">
        <v>580</v>
      </c>
      <c r="L455" s="546">
        <v>0</v>
      </c>
      <c r="M455" s="545" t="s">
        <v>389</v>
      </c>
      <c r="N455" s="545" t="s">
        <v>394</v>
      </c>
    </row>
    <row r="456" spans="2:14" x14ac:dyDescent="0.2">
      <c r="B456" s="572" t="s">
        <v>429</v>
      </c>
      <c r="C456" s="1199">
        <f>C451</f>
        <v>20</v>
      </c>
      <c r="D456" s="779" t="s">
        <v>530</v>
      </c>
      <c r="E456" s="778" t="s">
        <v>580</v>
      </c>
      <c r="L456" s="546">
        <v>0</v>
      </c>
      <c r="M456" s="545" t="s">
        <v>389</v>
      </c>
      <c r="N456" s="545" t="s">
        <v>394</v>
      </c>
    </row>
    <row r="457" spans="2:14" x14ac:dyDescent="0.2">
      <c r="B457" s="572" t="s">
        <v>430</v>
      </c>
      <c r="C457" s="1199">
        <f>C452</f>
        <v>31</v>
      </c>
      <c r="D457" s="779" t="s">
        <v>530</v>
      </c>
      <c r="E457" s="778" t="s">
        <v>580</v>
      </c>
      <c r="L457" s="546">
        <v>0</v>
      </c>
      <c r="M457" s="545" t="s">
        <v>389</v>
      </c>
      <c r="N457" s="545" t="s">
        <v>394</v>
      </c>
    </row>
    <row r="458" spans="2:14" x14ac:dyDescent="0.2">
      <c r="B458" s="778" t="s">
        <v>425</v>
      </c>
      <c r="C458" s="1199">
        <v>23</v>
      </c>
      <c r="D458" s="779" t="s">
        <v>530</v>
      </c>
      <c r="E458" s="778" t="s">
        <v>581</v>
      </c>
      <c r="L458" s="546">
        <v>0</v>
      </c>
      <c r="M458" s="545" t="s">
        <v>389</v>
      </c>
      <c r="N458" s="545" t="s">
        <v>393</v>
      </c>
    </row>
    <row r="459" spans="2:14" x14ac:dyDescent="0.2">
      <c r="B459" s="778" t="s">
        <v>749</v>
      </c>
      <c r="C459" s="1199">
        <v>25</v>
      </c>
      <c r="D459" s="779" t="s">
        <v>530</v>
      </c>
      <c r="E459" s="778" t="s">
        <v>581</v>
      </c>
    </row>
    <row r="460" spans="2:14" x14ac:dyDescent="0.2">
      <c r="B460" s="778" t="s">
        <v>713</v>
      </c>
      <c r="C460" s="1199">
        <v>27</v>
      </c>
      <c r="D460" s="779" t="s">
        <v>530</v>
      </c>
      <c r="E460" s="778" t="s">
        <v>581</v>
      </c>
      <c r="L460" s="546">
        <v>0</v>
      </c>
      <c r="M460" s="545" t="s">
        <v>389</v>
      </c>
      <c r="N460" s="545" t="s">
        <v>393</v>
      </c>
    </row>
    <row r="461" spans="2:14" x14ac:dyDescent="0.2">
      <c r="B461" s="778" t="s">
        <v>518</v>
      </c>
      <c r="C461" s="1199">
        <v>5</v>
      </c>
      <c r="D461" s="779" t="s">
        <v>530</v>
      </c>
      <c r="E461" s="778" t="s">
        <v>581</v>
      </c>
      <c r="L461" s="546">
        <v>0</v>
      </c>
      <c r="M461" s="545" t="s">
        <v>389</v>
      </c>
      <c r="N461" s="545" t="s">
        <v>393</v>
      </c>
    </row>
    <row r="462" spans="2:14" x14ac:dyDescent="0.2">
      <c r="B462" s="778" t="s">
        <v>583</v>
      </c>
      <c r="C462" s="1199">
        <v>30</v>
      </c>
      <c r="D462" s="779" t="s">
        <v>530</v>
      </c>
      <c r="E462" s="778" t="s">
        <v>581</v>
      </c>
      <c r="L462" s="546">
        <v>0</v>
      </c>
      <c r="M462" s="545" t="s">
        <v>389</v>
      </c>
      <c r="N462" s="545" t="s">
        <v>393</v>
      </c>
    </row>
    <row r="463" spans="2:14" x14ac:dyDescent="0.2">
      <c r="B463" s="778" t="s">
        <v>584</v>
      </c>
      <c r="C463" s="1199">
        <v>20</v>
      </c>
      <c r="D463" s="779" t="s">
        <v>530</v>
      </c>
      <c r="E463" s="778" t="s">
        <v>581</v>
      </c>
      <c r="L463" s="546">
        <v>0</v>
      </c>
      <c r="M463" s="545" t="s">
        <v>389</v>
      </c>
      <c r="N463" s="545" t="s">
        <v>393</v>
      </c>
    </row>
    <row r="464" spans="2:14" x14ac:dyDescent="0.2">
      <c r="B464" s="778" t="s">
        <v>427</v>
      </c>
      <c r="C464" s="1199">
        <v>21</v>
      </c>
      <c r="D464" s="779" t="s">
        <v>530</v>
      </c>
      <c r="E464" s="778" t="s">
        <v>581</v>
      </c>
      <c r="K464" s="544">
        <v>4</v>
      </c>
      <c r="L464" s="546">
        <v>0</v>
      </c>
      <c r="M464" s="545" t="s">
        <v>389</v>
      </c>
      <c r="N464" s="545" t="s">
        <v>394</v>
      </c>
    </row>
    <row r="465" spans="2:14" x14ac:dyDescent="0.2">
      <c r="B465" s="572" t="s">
        <v>428</v>
      </c>
      <c r="C465" s="1199">
        <f>C458</f>
        <v>23</v>
      </c>
      <c r="D465" s="779" t="s">
        <v>530</v>
      </c>
      <c r="E465" s="778" t="s">
        <v>581</v>
      </c>
      <c r="L465" s="546">
        <v>0</v>
      </c>
      <c r="M465" s="545" t="s">
        <v>389</v>
      </c>
      <c r="N465" s="545" t="s">
        <v>394</v>
      </c>
    </row>
    <row r="466" spans="2:14" x14ac:dyDescent="0.2">
      <c r="B466" s="572" t="s">
        <v>714</v>
      </c>
      <c r="C466" s="1199">
        <f>C460</f>
        <v>27</v>
      </c>
      <c r="D466" s="779" t="s">
        <v>530</v>
      </c>
      <c r="E466" s="778" t="s">
        <v>581</v>
      </c>
      <c r="L466" s="546">
        <v>0</v>
      </c>
      <c r="M466" s="545" t="s">
        <v>389</v>
      </c>
      <c r="N466" s="545" t="s">
        <v>394</v>
      </c>
    </row>
    <row r="467" spans="2:14" x14ac:dyDescent="0.2">
      <c r="B467" s="572" t="s">
        <v>585</v>
      </c>
      <c r="C467" s="1199">
        <f>C462</f>
        <v>30</v>
      </c>
      <c r="D467" s="779" t="s">
        <v>530</v>
      </c>
      <c r="E467" s="778" t="s">
        <v>581</v>
      </c>
      <c r="L467" s="546">
        <v>0</v>
      </c>
      <c r="M467" s="545" t="s">
        <v>389</v>
      </c>
      <c r="N467" s="545" t="s">
        <v>394</v>
      </c>
    </row>
    <row r="468" spans="2:14" x14ac:dyDescent="0.2">
      <c r="B468" s="572" t="s">
        <v>429</v>
      </c>
      <c r="C468" s="1199">
        <f>C463</f>
        <v>20</v>
      </c>
      <c r="D468" s="779" t="s">
        <v>530</v>
      </c>
      <c r="E468" s="778" t="s">
        <v>581</v>
      </c>
      <c r="L468" s="546">
        <v>0</v>
      </c>
      <c r="M468" s="545" t="s">
        <v>389</v>
      </c>
      <c r="N468" s="545" t="s">
        <v>394</v>
      </c>
    </row>
    <row r="469" spans="2:14" x14ac:dyDescent="0.2">
      <c r="B469" s="572" t="s">
        <v>430</v>
      </c>
      <c r="C469" s="1199">
        <f>C464</f>
        <v>21</v>
      </c>
      <c r="D469" s="779" t="s">
        <v>530</v>
      </c>
      <c r="E469" s="778" t="s">
        <v>581</v>
      </c>
      <c r="L469" s="546">
        <v>0</v>
      </c>
      <c r="M469" s="545" t="s">
        <v>389</v>
      </c>
      <c r="N469" s="545" t="s">
        <v>394</v>
      </c>
    </row>
    <row r="470" spans="2:14" x14ac:dyDescent="0.2">
      <c r="B470" s="778" t="s">
        <v>425</v>
      </c>
      <c r="C470" s="1199">
        <v>15</v>
      </c>
      <c r="D470" s="779" t="s">
        <v>530</v>
      </c>
      <c r="E470" s="778" t="s">
        <v>549</v>
      </c>
      <c r="L470" s="546">
        <v>0</v>
      </c>
      <c r="M470" s="545" t="s">
        <v>389</v>
      </c>
      <c r="N470" s="545" t="s">
        <v>393</v>
      </c>
    </row>
    <row r="471" spans="2:14" x14ac:dyDescent="0.2">
      <c r="B471" s="778" t="s">
        <v>749</v>
      </c>
      <c r="C471" s="1199">
        <v>16</v>
      </c>
      <c r="D471" s="779" t="s">
        <v>530</v>
      </c>
      <c r="E471" s="778" t="s">
        <v>549</v>
      </c>
    </row>
    <row r="472" spans="2:14" x14ac:dyDescent="0.2">
      <c r="B472" s="778" t="s">
        <v>713</v>
      </c>
      <c r="C472" s="1199">
        <v>15</v>
      </c>
      <c r="D472" s="779" t="s">
        <v>530</v>
      </c>
      <c r="E472" s="778" t="s">
        <v>549</v>
      </c>
      <c r="L472" s="546">
        <v>0</v>
      </c>
      <c r="M472" s="545" t="s">
        <v>389</v>
      </c>
      <c r="N472" s="545" t="s">
        <v>393</v>
      </c>
    </row>
    <row r="473" spans="2:14" x14ac:dyDescent="0.2">
      <c r="B473" s="778" t="s">
        <v>518</v>
      </c>
      <c r="C473" s="1199">
        <v>5</v>
      </c>
      <c r="D473" s="779" t="s">
        <v>530</v>
      </c>
      <c r="E473" s="778" t="s">
        <v>549</v>
      </c>
      <c r="L473" s="546">
        <v>0</v>
      </c>
      <c r="M473" s="545" t="s">
        <v>389</v>
      </c>
      <c r="N473" s="545" t="s">
        <v>393</v>
      </c>
    </row>
    <row r="474" spans="2:14" x14ac:dyDescent="0.2">
      <c r="B474" s="778" t="s">
        <v>583</v>
      </c>
      <c r="C474" s="1199">
        <v>22</v>
      </c>
      <c r="D474" s="779" t="s">
        <v>530</v>
      </c>
      <c r="E474" s="778" t="s">
        <v>549</v>
      </c>
      <c r="L474" s="546">
        <v>0</v>
      </c>
      <c r="M474" s="545" t="s">
        <v>389</v>
      </c>
      <c r="N474" s="545" t="s">
        <v>393</v>
      </c>
    </row>
    <row r="475" spans="2:14" x14ac:dyDescent="0.2">
      <c r="B475" s="778" t="s">
        <v>584</v>
      </c>
      <c r="C475" s="1199">
        <v>13</v>
      </c>
      <c r="D475" s="779" t="s">
        <v>530</v>
      </c>
      <c r="E475" s="778" t="s">
        <v>549</v>
      </c>
      <c r="L475" s="546">
        <v>0</v>
      </c>
      <c r="M475" s="545" t="s">
        <v>389</v>
      </c>
      <c r="N475" s="545" t="s">
        <v>393</v>
      </c>
    </row>
    <row r="476" spans="2:14" x14ac:dyDescent="0.2">
      <c r="B476" s="778" t="s">
        <v>427</v>
      </c>
      <c r="C476" s="1199">
        <v>18</v>
      </c>
      <c r="D476" s="779" t="s">
        <v>530</v>
      </c>
      <c r="E476" s="778" t="s">
        <v>549</v>
      </c>
      <c r="K476" s="544">
        <v>4</v>
      </c>
      <c r="L476" s="546">
        <v>0</v>
      </c>
      <c r="M476" s="545" t="s">
        <v>389</v>
      </c>
      <c r="N476" s="545" t="s">
        <v>394</v>
      </c>
    </row>
    <row r="477" spans="2:14" x14ac:dyDescent="0.2">
      <c r="B477" s="572" t="s">
        <v>428</v>
      </c>
      <c r="C477" s="1199">
        <f>C470</f>
        <v>15</v>
      </c>
      <c r="D477" s="779" t="s">
        <v>530</v>
      </c>
      <c r="E477" s="778" t="s">
        <v>549</v>
      </c>
      <c r="L477" s="546">
        <v>0</v>
      </c>
      <c r="M477" s="545" t="s">
        <v>389</v>
      </c>
      <c r="N477" s="545" t="s">
        <v>394</v>
      </c>
    </row>
    <row r="478" spans="2:14" x14ac:dyDescent="0.2">
      <c r="B478" s="572" t="s">
        <v>714</v>
      </c>
      <c r="C478" s="1199">
        <f>C472</f>
        <v>15</v>
      </c>
      <c r="D478" s="779" t="s">
        <v>530</v>
      </c>
      <c r="E478" s="778" t="s">
        <v>549</v>
      </c>
      <c r="L478" s="546">
        <v>0</v>
      </c>
      <c r="M478" s="545" t="s">
        <v>389</v>
      </c>
      <c r="N478" s="545" t="s">
        <v>394</v>
      </c>
    </row>
    <row r="479" spans="2:14" x14ac:dyDescent="0.2">
      <c r="B479" s="572" t="s">
        <v>585</v>
      </c>
      <c r="C479" s="1199">
        <f>C474</f>
        <v>22</v>
      </c>
      <c r="D479" s="779" t="s">
        <v>530</v>
      </c>
      <c r="E479" s="778" t="s">
        <v>549</v>
      </c>
      <c r="L479" s="546">
        <v>0</v>
      </c>
      <c r="M479" s="545" t="s">
        <v>389</v>
      </c>
      <c r="N479" s="545" t="s">
        <v>394</v>
      </c>
    </row>
    <row r="480" spans="2:14" x14ac:dyDescent="0.2">
      <c r="B480" s="572" t="s">
        <v>429</v>
      </c>
      <c r="C480" s="1199">
        <f>C475</f>
        <v>13</v>
      </c>
      <c r="D480" s="779" t="s">
        <v>530</v>
      </c>
      <c r="E480" s="778" t="s">
        <v>549</v>
      </c>
      <c r="L480" s="546">
        <v>0</v>
      </c>
      <c r="M480" s="545" t="s">
        <v>389</v>
      </c>
      <c r="N480" s="545" t="s">
        <v>394</v>
      </c>
    </row>
    <row r="481" spans="2:14" x14ac:dyDescent="0.2">
      <c r="B481" s="572" t="s">
        <v>430</v>
      </c>
      <c r="C481" s="1199">
        <f>C476</f>
        <v>18</v>
      </c>
      <c r="D481" s="779" t="s">
        <v>530</v>
      </c>
      <c r="E481" s="778" t="s">
        <v>549</v>
      </c>
      <c r="L481" s="546">
        <v>0</v>
      </c>
      <c r="M481" s="545" t="s">
        <v>389</v>
      </c>
      <c r="N481" s="545" t="s">
        <v>394</v>
      </c>
    </row>
    <row r="482" spans="2:14" x14ac:dyDescent="0.2">
      <c r="B482" s="778" t="s">
        <v>425</v>
      </c>
      <c r="C482" s="1199">
        <v>8</v>
      </c>
      <c r="D482" s="779" t="s">
        <v>530</v>
      </c>
      <c r="E482" s="778" t="s">
        <v>404</v>
      </c>
      <c r="L482" s="546">
        <v>0</v>
      </c>
      <c r="M482" s="545" t="s">
        <v>389</v>
      </c>
      <c r="N482" s="545" t="s">
        <v>393</v>
      </c>
    </row>
    <row r="483" spans="2:14" x14ac:dyDescent="0.2">
      <c r="B483" s="778" t="s">
        <v>749</v>
      </c>
      <c r="C483" s="1199">
        <v>17</v>
      </c>
      <c r="D483" s="779" t="s">
        <v>530</v>
      </c>
      <c r="E483" s="778" t="s">
        <v>404</v>
      </c>
    </row>
    <row r="484" spans="2:14" x14ac:dyDescent="0.2">
      <c r="B484" s="778" t="s">
        <v>713</v>
      </c>
      <c r="C484" s="1199">
        <v>15</v>
      </c>
      <c r="D484" s="779" t="s">
        <v>530</v>
      </c>
      <c r="E484" s="778" t="s">
        <v>404</v>
      </c>
      <c r="L484" s="546">
        <v>0</v>
      </c>
      <c r="M484" s="545" t="s">
        <v>389</v>
      </c>
      <c r="N484" s="545" t="s">
        <v>393</v>
      </c>
    </row>
    <row r="485" spans="2:14" x14ac:dyDescent="0.2">
      <c r="B485" s="778" t="s">
        <v>518</v>
      </c>
      <c r="C485" s="1199">
        <v>5</v>
      </c>
      <c r="D485" s="779" t="s">
        <v>530</v>
      </c>
      <c r="E485" s="778" t="s">
        <v>404</v>
      </c>
      <c r="L485" s="546">
        <v>0</v>
      </c>
      <c r="M485" s="545" t="s">
        <v>389</v>
      </c>
      <c r="N485" s="545" t="s">
        <v>393</v>
      </c>
    </row>
    <row r="486" spans="2:14" x14ac:dyDescent="0.2">
      <c r="B486" s="778" t="s">
        <v>583</v>
      </c>
      <c r="C486" s="1199">
        <v>22</v>
      </c>
      <c r="D486" s="779" t="s">
        <v>530</v>
      </c>
      <c r="E486" s="778" t="s">
        <v>404</v>
      </c>
      <c r="L486" s="546">
        <v>0</v>
      </c>
      <c r="M486" s="545" t="s">
        <v>389</v>
      </c>
      <c r="N486" s="545" t="s">
        <v>393</v>
      </c>
    </row>
    <row r="487" spans="2:14" x14ac:dyDescent="0.2">
      <c r="B487" s="778" t="s">
        <v>584</v>
      </c>
      <c r="C487" s="1199">
        <v>13</v>
      </c>
      <c r="D487" s="779" t="s">
        <v>530</v>
      </c>
      <c r="E487" s="778" t="s">
        <v>404</v>
      </c>
      <c r="L487" s="546">
        <v>0</v>
      </c>
      <c r="M487" s="545" t="s">
        <v>389</v>
      </c>
      <c r="N487" s="545" t="s">
        <v>393</v>
      </c>
    </row>
    <row r="488" spans="2:14" x14ac:dyDescent="0.2">
      <c r="B488" s="778" t="s">
        <v>427</v>
      </c>
      <c r="C488" s="1199">
        <v>17</v>
      </c>
      <c r="D488" s="779" t="s">
        <v>530</v>
      </c>
      <c r="E488" s="778" t="s">
        <v>404</v>
      </c>
      <c r="K488" s="544">
        <v>4</v>
      </c>
      <c r="L488" s="546">
        <v>0</v>
      </c>
      <c r="M488" s="545" t="s">
        <v>389</v>
      </c>
      <c r="N488" s="545" t="s">
        <v>394</v>
      </c>
    </row>
    <row r="489" spans="2:14" x14ac:dyDescent="0.2">
      <c r="B489" s="572" t="s">
        <v>428</v>
      </c>
      <c r="C489" s="1199">
        <f>C482</f>
        <v>8</v>
      </c>
      <c r="D489" s="779" t="s">
        <v>530</v>
      </c>
      <c r="E489" s="778" t="s">
        <v>404</v>
      </c>
      <c r="L489" s="546">
        <v>0</v>
      </c>
      <c r="M489" s="545" t="s">
        <v>389</v>
      </c>
      <c r="N489" s="545" t="s">
        <v>394</v>
      </c>
    </row>
    <row r="490" spans="2:14" x14ac:dyDescent="0.2">
      <c r="B490" s="572" t="s">
        <v>714</v>
      </c>
      <c r="C490" s="1199">
        <f>C484</f>
        <v>15</v>
      </c>
      <c r="D490" s="779" t="s">
        <v>530</v>
      </c>
      <c r="E490" s="778" t="s">
        <v>404</v>
      </c>
      <c r="L490" s="546">
        <v>0</v>
      </c>
      <c r="M490" s="545" t="s">
        <v>389</v>
      </c>
      <c r="N490" s="545" t="s">
        <v>394</v>
      </c>
    </row>
    <row r="491" spans="2:14" x14ac:dyDescent="0.2">
      <c r="B491" s="572" t="s">
        <v>585</v>
      </c>
      <c r="C491" s="1199">
        <f>C486</f>
        <v>22</v>
      </c>
      <c r="D491" s="779" t="s">
        <v>530</v>
      </c>
      <c r="E491" s="778" t="s">
        <v>404</v>
      </c>
      <c r="L491" s="546">
        <v>0</v>
      </c>
      <c r="M491" s="545" t="s">
        <v>389</v>
      </c>
      <c r="N491" s="545" t="s">
        <v>394</v>
      </c>
    </row>
    <row r="492" spans="2:14" x14ac:dyDescent="0.2">
      <c r="B492" s="572" t="s">
        <v>429</v>
      </c>
      <c r="C492" s="1199">
        <f>C487</f>
        <v>13</v>
      </c>
      <c r="D492" s="779" t="s">
        <v>530</v>
      </c>
      <c r="E492" s="778" t="s">
        <v>404</v>
      </c>
      <c r="L492" s="546">
        <v>0</v>
      </c>
      <c r="M492" s="545" t="s">
        <v>389</v>
      </c>
      <c r="N492" s="545" t="s">
        <v>394</v>
      </c>
    </row>
    <row r="493" spans="2:14" x14ac:dyDescent="0.2">
      <c r="B493" s="572" t="s">
        <v>430</v>
      </c>
      <c r="C493" s="1199">
        <f>C488</f>
        <v>17</v>
      </c>
      <c r="D493" s="779" t="s">
        <v>530</v>
      </c>
      <c r="E493" s="778" t="s">
        <v>404</v>
      </c>
      <c r="L493" s="546">
        <v>0</v>
      </c>
      <c r="M493" s="545" t="s">
        <v>389</v>
      </c>
      <c r="N493" s="545" t="s">
        <v>394</v>
      </c>
    </row>
    <row r="494" spans="2:14" x14ac:dyDescent="0.2">
      <c r="B494" s="778" t="s">
        <v>425</v>
      </c>
      <c r="C494" s="1199">
        <v>23</v>
      </c>
      <c r="D494" s="779" t="s">
        <v>530</v>
      </c>
      <c r="E494" s="778" t="s">
        <v>520</v>
      </c>
      <c r="L494" s="546">
        <v>0</v>
      </c>
      <c r="M494" s="545" t="s">
        <v>389</v>
      </c>
      <c r="N494" s="545" t="s">
        <v>393</v>
      </c>
    </row>
    <row r="495" spans="2:14" x14ac:dyDescent="0.2">
      <c r="B495" s="778" t="s">
        <v>749</v>
      </c>
      <c r="C495" s="1199">
        <v>10</v>
      </c>
      <c r="D495" s="779" t="s">
        <v>530</v>
      </c>
      <c r="E495" s="778" t="s">
        <v>520</v>
      </c>
    </row>
    <row r="496" spans="2:14" x14ac:dyDescent="0.2">
      <c r="B496" s="778" t="s">
        <v>713</v>
      </c>
      <c r="C496" s="1199">
        <v>8</v>
      </c>
      <c r="D496" s="779" t="s">
        <v>530</v>
      </c>
      <c r="E496" s="778" t="s">
        <v>520</v>
      </c>
      <c r="L496" s="546">
        <v>0</v>
      </c>
      <c r="M496" s="545" t="s">
        <v>389</v>
      </c>
      <c r="N496" s="545" t="s">
        <v>393</v>
      </c>
    </row>
    <row r="497" spans="2:14" x14ac:dyDescent="0.2">
      <c r="B497" s="778" t="s">
        <v>518</v>
      </c>
      <c r="C497" s="1199">
        <v>5</v>
      </c>
      <c r="D497" s="779" t="s">
        <v>530</v>
      </c>
      <c r="E497" s="778" t="s">
        <v>520</v>
      </c>
      <c r="L497" s="546">
        <v>0</v>
      </c>
      <c r="M497" s="545" t="s">
        <v>389</v>
      </c>
      <c r="N497" s="545" t="s">
        <v>393</v>
      </c>
    </row>
    <row r="498" spans="2:14" x14ac:dyDescent="0.2">
      <c r="B498" s="778" t="s">
        <v>583</v>
      </c>
      <c r="C498" s="1199">
        <v>23</v>
      </c>
      <c r="D498" s="779" t="s">
        <v>530</v>
      </c>
      <c r="E498" s="778" t="s">
        <v>520</v>
      </c>
      <c r="L498" s="546">
        <v>0</v>
      </c>
      <c r="M498" s="545" t="s">
        <v>389</v>
      </c>
      <c r="N498" s="545" t="s">
        <v>393</v>
      </c>
    </row>
    <row r="499" spans="2:14" x14ac:dyDescent="0.2">
      <c r="B499" s="778" t="s">
        <v>584</v>
      </c>
      <c r="C499" s="1199">
        <v>15</v>
      </c>
      <c r="D499" s="779" t="s">
        <v>530</v>
      </c>
      <c r="E499" s="778" t="s">
        <v>520</v>
      </c>
      <c r="L499" s="546">
        <v>0</v>
      </c>
      <c r="M499" s="545" t="s">
        <v>389</v>
      </c>
      <c r="N499" s="545" t="s">
        <v>393</v>
      </c>
    </row>
    <row r="500" spans="2:14" x14ac:dyDescent="0.2">
      <c r="B500" s="778" t="s">
        <v>427</v>
      </c>
      <c r="C500" s="1199">
        <v>17</v>
      </c>
      <c r="D500" s="779" t="s">
        <v>530</v>
      </c>
      <c r="E500" s="778" t="s">
        <v>520</v>
      </c>
      <c r="K500" s="544">
        <v>4</v>
      </c>
      <c r="L500" s="546">
        <v>0</v>
      </c>
      <c r="M500" s="545" t="s">
        <v>389</v>
      </c>
      <c r="N500" s="545" t="s">
        <v>394</v>
      </c>
    </row>
    <row r="501" spans="2:14" x14ac:dyDescent="0.2">
      <c r="B501" s="572" t="s">
        <v>428</v>
      </c>
      <c r="C501" s="1199">
        <f>C494</f>
        <v>23</v>
      </c>
      <c r="D501" s="779" t="s">
        <v>530</v>
      </c>
      <c r="E501" s="778" t="s">
        <v>520</v>
      </c>
      <c r="L501" s="546">
        <v>0</v>
      </c>
      <c r="M501" s="545" t="s">
        <v>389</v>
      </c>
      <c r="N501" s="545" t="s">
        <v>394</v>
      </c>
    </row>
    <row r="502" spans="2:14" x14ac:dyDescent="0.2">
      <c r="B502" s="572" t="s">
        <v>714</v>
      </c>
      <c r="C502" s="1199">
        <f>C496</f>
        <v>8</v>
      </c>
      <c r="D502" s="779" t="s">
        <v>530</v>
      </c>
      <c r="E502" s="778" t="s">
        <v>520</v>
      </c>
      <c r="L502" s="546">
        <v>0</v>
      </c>
      <c r="M502" s="545" t="s">
        <v>389</v>
      </c>
      <c r="N502" s="545" t="s">
        <v>394</v>
      </c>
    </row>
    <row r="503" spans="2:14" x14ac:dyDescent="0.2">
      <c r="B503" s="572" t="s">
        <v>585</v>
      </c>
      <c r="C503" s="1199">
        <f>C498</f>
        <v>23</v>
      </c>
      <c r="D503" s="779" t="s">
        <v>530</v>
      </c>
      <c r="E503" s="778" t="s">
        <v>520</v>
      </c>
      <c r="L503" s="546">
        <v>0</v>
      </c>
      <c r="M503" s="545" t="s">
        <v>389</v>
      </c>
      <c r="N503" s="545" t="s">
        <v>394</v>
      </c>
    </row>
    <row r="504" spans="2:14" x14ac:dyDescent="0.2">
      <c r="B504" s="572" t="s">
        <v>429</v>
      </c>
      <c r="C504" s="1199">
        <f>C499</f>
        <v>15</v>
      </c>
      <c r="D504" s="779" t="s">
        <v>530</v>
      </c>
      <c r="E504" s="778" t="s">
        <v>520</v>
      </c>
      <c r="L504" s="546">
        <v>0</v>
      </c>
      <c r="M504" s="545" t="s">
        <v>389</v>
      </c>
      <c r="N504" s="545" t="s">
        <v>394</v>
      </c>
    </row>
    <row r="505" spans="2:14" x14ac:dyDescent="0.2">
      <c r="B505" s="572" t="s">
        <v>430</v>
      </c>
      <c r="C505" s="1199">
        <f>C500</f>
        <v>17</v>
      </c>
      <c r="D505" s="779" t="s">
        <v>530</v>
      </c>
      <c r="E505" s="778" t="s">
        <v>520</v>
      </c>
      <c r="L505" s="546">
        <v>0</v>
      </c>
      <c r="M505" s="545" t="s">
        <v>389</v>
      </c>
      <c r="N505" s="545" t="s">
        <v>394</v>
      </c>
    </row>
    <row r="506" spans="2:14" x14ac:dyDescent="0.2">
      <c r="B506" s="778" t="s">
        <v>425</v>
      </c>
      <c r="C506" s="1199">
        <v>5</v>
      </c>
      <c r="D506" s="779" t="s">
        <v>530</v>
      </c>
      <c r="E506" s="778" t="s">
        <v>521</v>
      </c>
      <c r="L506" s="546">
        <v>0</v>
      </c>
      <c r="M506" s="545" t="s">
        <v>389</v>
      </c>
      <c r="N506" s="545" t="s">
        <v>393</v>
      </c>
    </row>
    <row r="507" spans="2:14" x14ac:dyDescent="0.2">
      <c r="B507" s="778" t="s">
        <v>749</v>
      </c>
      <c r="C507" s="1199">
        <v>12</v>
      </c>
      <c r="D507" s="779" t="s">
        <v>530</v>
      </c>
      <c r="E507" s="778" t="s">
        <v>521</v>
      </c>
    </row>
    <row r="508" spans="2:14" x14ac:dyDescent="0.2">
      <c r="B508" s="778" t="s">
        <v>713</v>
      </c>
      <c r="C508" s="1199">
        <v>10</v>
      </c>
      <c r="D508" s="779" t="s">
        <v>530</v>
      </c>
      <c r="E508" s="778" t="s">
        <v>521</v>
      </c>
      <c r="L508" s="546">
        <v>0</v>
      </c>
      <c r="M508" s="545" t="s">
        <v>389</v>
      </c>
      <c r="N508" s="545" t="s">
        <v>393</v>
      </c>
    </row>
    <row r="509" spans="2:14" x14ac:dyDescent="0.2">
      <c r="B509" s="778" t="s">
        <v>518</v>
      </c>
      <c r="C509" s="1199">
        <v>5</v>
      </c>
      <c r="D509" s="779" t="s">
        <v>530</v>
      </c>
      <c r="E509" s="778" t="s">
        <v>521</v>
      </c>
      <c r="L509" s="546">
        <v>0</v>
      </c>
      <c r="M509" s="545" t="s">
        <v>389</v>
      </c>
      <c r="N509" s="545" t="s">
        <v>393</v>
      </c>
    </row>
    <row r="510" spans="2:14" x14ac:dyDescent="0.2">
      <c r="B510" s="778" t="s">
        <v>583</v>
      </c>
      <c r="C510" s="1199">
        <v>17</v>
      </c>
      <c r="D510" s="779" t="s">
        <v>530</v>
      </c>
      <c r="E510" s="778" t="s">
        <v>521</v>
      </c>
      <c r="L510" s="546">
        <v>0</v>
      </c>
      <c r="M510" s="545" t="s">
        <v>389</v>
      </c>
      <c r="N510" s="545" t="s">
        <v>393</v>
      </c>
    </row>
    <row r="511" spans="2:14" x14ac:dyDescent="0.2">
      <c r="B511" s="778" t="s">
        <v>584</v>
      </c>
      <c r="C511" s="1199">
        <v>14</v>
      </c>
      <c r="D511" s="779" t="s">
        <v>530</v>
      </c>
      <c r="E511" s="778" t="s">
        <v>521</v>
      </c>
      <c r="L511" s="546">
        <v>0</v>
      </c>
      <c r="M511" s="545" t="s">
        <v>389</v>
      </c>
      <c r="N511" s="545" t="s">
        <v>393</v>
      </c>
    </row>
    <row r="512" spans="2:14" x14ac:dyDescent="0.2">
      <c r="B512" s="778" t="s">
        <v>427</v>
      </c>
      <c r="C512" s="1199">
        <v>15</v>
      </c>
      <c r="D512" s="779" t="s">
        <v>530</v>
      </c>
      <c r="E512" s="778" t="s">
        <v>521</v>
      </c>
      <c r="K512" s="544">
        <v>4</v>
      </c>
      <c r="L512" s="546">
        <v>0</v>
      </c>
      <c r="M512" s="545" t="s">
        <v>389</v>
      </c>
      <c r="N512" s="545" t="s">
        <v>394</v>
      </c>
    </row>
    <row r="513" spans="2:14" x14ac:dyDescent="0.2">
      <c r="B513" s="572" t="s">
        <v>428</v>
      </c>
      <c r="C513" s="1199">
        <f>C506</f>
        <v>5</v>
      </c>
      <c r="D513" s="779" t="s">
        <v>530</v>
      </c>
      <c r="E513" s="778" t="s">
        <v>521</v>
      </c>
      <c r="L513" s="546">
        <v>0</v>
      </c>
      <c r="M513" s="545" t="s">
        <v>389</v>
      </c>
      <c r="N513" s="545" t="s">
        <v>394</v>
      </c>
    </row>
    <row r="514" spans="2:14" x14ac:dyDescent="0.2">
      <c r="B514" s="572" t="s">
        <v>714</v>
      </c>
      <c r="C514" s="1199">
        <f>C508</f>
        <v>10</v>
      </c>
      <c r="D514" s="779" t="s">
        <v>530</v>
      </c>
      <c r="E514" s="778" t="s">
        <v>521</v>
      </c>
      <c r="L514" s="546">
        <v>0</v>
      </c>
      <c r="M514" s="545" t="s">
        <v>389</v>
      </c>
      <c r="N514" s="545" t="s">
        <v>394</v>
      </c>
    </row>
    <row r="515" spans="2:14" x14ac:dyDescent="0.2">
      <c r="B515" s="572" t="s">
        <v>585</v>
      </c>
      <c r="C515" s="1199">
        <f t="shared" ref="C515:C516" si="3">C510</f>
        <v>17</v>
      </c>
      <c r="D515" s="779" t="s">
        <v>530</v>
      </c>
      <c r="E515" s="778" t="s">
        <v>521</v>
      </c>
      <c r="L515" s="546">
        <v>0</v>
      </c>
      <c r="M515" s="545" t="s">
        <v>389</v>
      </c>
      <c r="N515" s="545" t="s">
        <v>394</v>
      </c>
    </row>
    <row r="516" spans="2:14" x14ac:dyDescent="0.2">
      <c r="B516" s="572" t="s">
        <v>429</v>
      </c>
      <c r="C516" s="1199">
        <f t="shared" si="3"/>
        <v>14</v>
      </c>
      <c r="D516" s="779" t="s">
        <v>530</v>
      </c>
      <c r="E516" s="778" t="s">
        <v>521</v>
      </c>
      <c r="L516" s="546">
        <v>0</v>
      </c>
      <c r="M516" s="545" t="s">
        <v>389</v>
      </c>
      <c r="N516" s="545" t="s">
        <v>394</v>
      </c>
    </row>
    <row r="517" spans="2:14" x14ac:dyDescent="0.2">
      <c r="B517" s="572" t="s">
        <v>430</v>
      </c>
      <c r="C517" s="1199">
        <f>C512</f>
        <v>15</v>
      </c>
      <c r="D517" s="779" t="s">
        <v>530</v>
      </c>
      <c r="E517" s="778" t="s">
        <v>521</v>
      </c>
      <c r="L517" s="546">
        <v>0</v>
      </c>
      <c r="M517" s="545" t="s">
        <v>389</v>
      </c>
      <c r="N517" s="545" t="s">
        <v>394</v>
      </c>
    </row>
    <row r="518" spans="2:14" x14ac:dyDescent="0.2">
      <c r="B518" s="777" t="s">
        <v>607</v>
      </c>
      <c r="C518" s="543"/>
      <c r="D518" s="543"/>
      <c r="E518" s="543"/>
    </row>
    <row r="519" spans="2:14" x14ac:dyDescent="0.2">
      <c r="B519" s="778" t="s">
        <v>425</v>
      </c>
      <c r="C519" s="661">
        <v>11</v>
      </c>
      <c r="D519" s="779" t="s">
        <v>606</v>
      </c>
      <c r="E519" s="778" t="s">
        <v>679</v>
      </c>
      <c r="L519" s="546">
        <v>0</v>
      </c>
      <c r="M519" s="545" t="s">
        <v>389</v>
      </c>
      <c r="N519" s="545" t="s">
        <v>393</v>
      </c>
    </row>
    <row r="520" spans="2:14" x14ac:dyDescent="0.2">
      <c r="B520" s="778" t="s">
        <v>749</v>
      </c>
      <c r="C520" s="661">
        <v>11</v>
      </c>
      <c r="D520" s="779" t="s">
        <v>606</v>
      </c>
      <c r="E520" s="778" t="s">
        <v>679</v>
      </c>
    </row>
    <row r="521" spans="2:14" x14ac:dyDescent="0.2">
      <c r="B521" s="778" t="s">
        <v>713</v>
      </c>
      <c r="C521" s="661">
        <v>11</v>
      </c>
      <c r="D521" s="779" t="s">
        <v>606</v>
      </c>
      <c r="E521" s="778" t="s">
        <v>679</v>
      </c>
      <c r="L521" s="546">
        <v>0</v>
      </c>
      <c r="M521" s="545" t="s">
        <v>389</v>
      </c>
      <c r="N521" s="545" t="s">
        <v>393</v>
      </c>
    </row>
    <row r="522" spans="2:14" x14ac:dyDescent="0.2">
      <c r="B522" s="778" t="s">
        <v>655</v>
      </c>
      <c r="C522" s="661">
        <v>18</v>
      </c>
      <c r="D522" s="779" t="s">
        <v>606</v>
      </c>
      <c r="E522" s="778" t="s">
        <v>679</v>
      </c>
      <c r="L522" s="546">
        <v>0</v>
      </c>
      <c r="M522" s="545" t="s">
        <v>389</v>
      </c>
      <c r="N522" s="545" t="s">
        <v>393</v>
      </c>
    </row>
    <row r="523" spans="2:14" x14ac:dyDescent="0.2">
      <c r="B523" s="778" t="s">
        <v>518</v>
      </c>
      <c r="C523" s="661">
        <v>0</v>
      </c>
      <c r="D523" s="779" t="s">
        <v>606</v>
      </c>
      <c r="E523" s="778" t="s">
        <v>679</v>
      </c>
      <c r="L523" s="546">
        <v>0</v>
      </c>
      <c r="M523" s="545" t="s">
        <v>389</v>
      </c>
      <c r="N523" s="545" t="s">
        <v>393</v>
      </c>
    </row>
    <row r="524" spans="2:14" x14ac:dyDescent="0.2">
      <c r="B524" s="778" t="s">
        <v>583</v>
      </c>
      <c r="C524" s="661">
        <v>6</v>
      </c>
      <c r="D524" s="779" t="s">
        <v>606</v>
      </c>
      <c r="E524" s="778" t="s">
        <v>679</v>
      </c>
      <c r="L524" s="546">
        <v>0</v>
      </c>
      <c r="M524" s="545" t="s">
        <v>389</v>
      </c>
      <c r="N524" s="545" t="s">
        <v>393</v>
      </c>
    </row>
    <row r="525" spans="2:14" x14ac:dyDescent="0.2">
      <c r="B525" s="778" t="s">
        <v>584</v>
      </c>
      <c r="C525" s="661">
        <v>6</v>
      </c>
      <c r="D525" s="779" t="s">
        <v>606</v>
      </c>
      <c r="E525" s="778" t="s">
        <v>679</v>
      </c>
      <c r="L525" s="546">
        <v>0</v>
      </c>
      <c r="M525" s="545" t="s">
        <v>389</v>
      </c>
      <c r="N525" s="545" t="s">
        <v>393</v>
      </c>
    </row>
    <row r="526" spans="2:14" x14ac:dyDescent="0.2">
      <c r="B526" s="778" t="s">
        <v>656</v>
      </c>
      <c r="C526" s="661">
        <v>21</v>
      </c>
      <c r="D526" s="779" t="s">
        <v>606</v>
      </c>
      <c r="E526" s="778" t="s">
        <v>679</v>
      </c>
      <c r="L526" s="546">
        <v>0</v>
      </c>
      <c r="M526" s="545" t="s">
        <v>389</v>
      </c>
      <c r="N526" s="545" t="s">
        <v>393</v>
      </c>
    </row>
    <row r="527" spans="2:14" x14ac:dyDescent="0.2">
      <c r="B527" s="778" t="s">
        <v>427</v>
      </c>
      <c r="C527" s="661">
        <v>6</v>
      </c>
      <c r="D527" s="779" t="s">
        <v>606</v>
      </c>
      <c r="E527" s="778" t="s">
        <v>679</v>
      </c>
      <c r="K527" s="544">
        <v>4</v>
      </c>
      <c r="L527" s="546">
        <v>0</v>
      </c>
      <c r="M527" s="545" t="s">
        <v>389</v>
      </c>
      <c r="N527" s="545" t="s">
        <v>394</v>
      </c>
    </row>
    <row r="528" spans="2:14" x14ac:dyDescent="0.2">
      <c r="B528" s="778" t="s">
        <v>741</v>
      </c>
      <c r="C528" s="661">
        <v>6</v>
      </c>
      <c r="D528" s="779" t="s">
        <v>606</v>
      </c>
      <c r="E528" s="778" t="s">
        <v>679</v>
      </c>
    </row>
    <row r="529" spans="2:14" x14ac:dyDescent="0.2">
      <c r="B529" s="778" t="s">
        <v>425</v>
      </c>
      <c r="C529" s="661">
        <v>11</v>
      </c>
      <c r="D529" s="779" t="s">
        <v>606</v>
      </c>
      <c r="E529" s="778" t="s">
        <v>600</v>
      </c>
      <c r="L529" s="546">
        <v>0</v>
      </c>
      <c r="M529" s="545" t="s">
        <v>389</v>
      </c>
      <c r="N529" s="545" t="s">
        <v>393</v>
      </c>
    </row>
    <row r="530" spans="2:14" x14ac:dyDescent="0.2">
      <c r="B530" s="778" t="s">
        <v>749</v>
      </c>
      <c r="C530" s="661">
        <v>11</v>
      </c>
      <c r="D530" s="779" t="s">
        <v>606</v>
      </c>
      <c r="E530" s="778" t="s">
        <v>600</v>
      </c>
    </row>
    <row r="531" spans="2:14" x14ac:dyDescent="0.2">
      <c r="B531" s="778" t="s">
        <v>713</v>
      </c>
      <c r="C531" s="661">
        <v>11</v>
      </c>
      <c r="D531" s="779" t="s">
        <v>606</v>
      </c>
      <c r="E531" s="778" t="s">
        <v>600</v>
      </c>
      <c r="L531" s="546">
        <v>0</v>
      </c>
      <c r="M531" s="545" t="s">
        <v>389</v>
      </c>
      <c r="N531" s="545" t="s">
        <v>393</v>
      </c>
    </row>
    <row r="532" spans="2:14" x14ac:dyDescent="0.2">
      <c r="B532" s="778" t="s">
        <v>655</v>
      </c>
      <c r="C532" s="661">
        <v>18</v>
      </c>
      <c r="D532" s="779" t="s">
        <v>606</v>
      </c>
      <c r="E532" s="778" t="s">
        <v>600</v>
      </c>
      <c r="L532" s="546">
        <v>0</v>
      </c>
      <c r="M532" s="545" t="s">
        <v>389</v>
      </c>
      <c r="N532" s="545" t="s">
        <v>393</v>
      </c>
    </row>
    <row r="533" spans="2:14" x14ac:dyDescent="0.2">
      <c r="B533" s="778" t="s">
        <v>518</v>
      </c>
      <c r="C533" s="661">
        <v>0</v>
      </c>
      <c r="D533" s="779" t="s">
        <v>606</v>
      </c>
      <c r="E533" s="778" t="s">
        <v>600</v>
      </c>
      <c r="L533" s="546">
        <v>0</v>
      </c>
      <c r="M533" s="545" t="s">
        <v>389</v>
      </c>
      <c r="N533" s="545" t="s">
        <v>393</v>
      </c>
    </row>
    <row r="534" spans="2:14" x14ac:dyDescent="0.2">
      <c r="B534" s="778" t="s">
        <v>583</v>
      </c>
      <c r="C534" s="661">
        <v>6</v>
      </c>
      <c r="D534" s="779" t="s">
        <v>606</v>
      </c>
      <c r="E534" s="778" t="s">
        <v>600</v>
      </c>
      <c r="L534" s="546">
        <v>0</v>
      </c>
      <c r="M534" s="545" t="s">
        <v>389</v>
      </c>
      <c r="N534" s="545" t="s">
        <v>393</v>
      </c>
    </row>
    <row r="535" spans="2:14" x14ac:dyDescent="0.2">
      <c r="B535" s="778" t="s">
        <v>584</v>
      </c>
      <c r="C535" s="661">
        <v>6</v>
      </c>
      <c r="D535" s="779" t="s">
        <v>606</v>
      </c>
      <c r="E535" s="778" t="s">
        <v>600</v>
      </c>
      <c r="L535" s="546">
        <v>0</v>
      </c>
      <c r="M535" s="545" t="s">
        <v>389</v>
      </c>
      <c r="N535" s="545" t="s">
        <v>393</v>
      </c>
    </row>
    <row r="536" spans="2:14" x14ac:dyDescent="0.2">
      <c r="B536" s="778" t="s">
        <v>656</v>
      </c>
      <c r="C536" s="661">
        <v>21</v>
      </c>
      <c r="D536" s="779" t="s">
        <v>606</v>
      </c>
      <c r="E536" s="778" t="s">
        <v>600</v>
      </c>
      <c r="L536" s="546">
        <v>0</v>
      </c>
      <c r="M536" s="545" t="s">
        <v>389</v>
      </c>
      <c r="N536" s="545" t="s">
        <v>393</v>
      </c>
    </row>
    <row r="537" spans="2:14" x14ac:dyDescent="0.2">
      <c r="B537" s="778" t="s">
        <v>427</v>
      </c>
      <c r="C537" s="661">
        <v>6</v>
      </c>
      <c r="D537" s="779" t="s">
        <v>606</v>
      </c>
      <c r="E537" s="778" t="s">
        <v>600</v>
      </c>
      <c r="K537" s="544">
        <v>4</v>
      </c>
      <c r="L537" s="546">
        <v>0</v>
      </c>
      <c r="M537" s="545" t="s">
        <v>389</v>
      </c>
      <c r="N537" s="545" t="s">
        <v>394</v>
      </c>
    </row>
    <row r="538" spans="2:14" x14ac:dyDescent="0.2">
      <c r="B538" s="778" t="s">
        <v>741</v>
      </c>
      <c r="C538" s="661">
        <v>6</v>
      </c>
      <c r="D538" s="779" t="s">
        <v>606</v>
      </c>
      <c r="E538" s="778" t="s">
        <v>600</v>
      </c>
    </row>
    <row r="539" spans="2:14" x14ac:dyDescent="0.2">
      <c r="B539" s="778" t="s">
        <v>425</v>
      </c>
      <c r="C539" s="661">
        <v>3</v>
      </c>
      <c r="D539" s="779" t="s">
        <v>606</v>
      </c>
      <c r="E539" s="778" t="s">
        <v>755</v>
      </c>
      <c r="L539" s="546">
        <v>0</v>
      </c>
      <c r="M539" s="545" t="s">
        <v>389</v>
      </c>
      <c r="N539" s="545" t="s">
        <v>393</v>
      </c>
    </row>
    <row r="540" spans="2:14" x14ac:dyDescent="0.2">
      <c r="B540" s="778" t="s">
        <v>749</v>
      </c>
      <c r="C540" s="661">
        <v>4</v>
      </c>
      <c r="D540" s="779" t="s">
        <v>606</v>
      </c>
      <c r="E540" s="778" t="s">
        <v>755</v>
      </c>
    </row>
    <row r="541" spans="2:14" x14ac:dyDescent="0.2">
      <c r="B541" s="778" t="s">
        <v>713</v>
      </c>
      <c r="C541" s="661">
        <v>4</v>
      </c>
      <c r="D541" s="779" t="s">
        <v>606</v>
      </c>
      <c r="E541" s="778" t="s">
        <v>755</v>
      </c>
      <c r="L541" s="546">
        <v>0</v>
      </c>
      <c r="M541" s="545" t="s">
        <v>389</v>
      </c>
      <c r="N541" s="545" t="s">
        <v>393</v>
      </c>
    </row>
    <row r="542" spans="2:14" x14ac:dyDescent="0.2">
      <c r="B542" s="778" t="s">
        <v>655</v>
      </c>
      <c r="C542" s="661">
        <v>8</v>
      </c>
      <c r="D542" s="779" t="s">
        <v>606</v>
      </c>
      <c r="E542" s="778" t="s">
        <v>755</v>
      </c>
      <c r="L542" s="546">
        <v>0</v>
      </c>
      <c r="M542" s="545" t="s">
        <v>389</v>
      </c>
      <c r="N542" s="545" t="s">
        <v>393</v>
      </c>
    </row>
    <row r="543" spans="2:14" x14ac:dyDescent="0.2">
      <c r="B543" s="778" t="s">
        <v>518</v>
      </c>
      <c r="C543" s="661">
        <v>0</v>
      </c>
      <c r="D543" s="779" t="s">
        <v>606</v>
      </c>
      <c r="E543" s="778" t="s">
        <v>755</v>
      </c>
      <c r="L543" s="546">
        <v>0</v>
      </c>
      <c r="M543" s="545" t="s">
        <v>389</v>
      </c>
      <c r="N543" s="545" t="s">
        <v>393</v>
      </c>
    </row>
    <row r="544" spans="2:14" x14ac:dyDescent="0.2">
      <c r="B544" s="778" t="s">
        <v>583</v>
      </c>
      <c r="C544" s="661">
        <v>0</v>
      </c>
      <c r="D544" s="779" t="s">
        <v>606</v>
      </c>
      <c r="E544" s="778" t="s">
        <v>755</v>
      </c>
      <c r="L544" s="546">
        <v>0</v>
      </c>
      <c r="M544" s="545" t="s">
        <v>389</v>
      </c>
      <c r="N544" s="545" t="s">
        <v>393</v>
      </c>
    </row>
    <row r="545" spans="2:14" x14ac:dyDescent="0.2">
      <c r="B545" s="778" t="s">
        <v>584</v>
      </c>
      <c r="C545" s="661">
        <v>4</v>
      </c>
      <c r="D545" s="779" t="s">
        <v>606</v>
      </c>
      <c r="E545" s="778" t="s">
        <v>755</v>
      </c>
      <c r="L545" s="546">
        <v>0</v>
      </c>
      <c r="M545" s="545" t="s">
        <v>389</v>
      </c>
      <c r="N545" s="545" t="s">
        <v>393</v>
      </c>
    </row>
    <row r="546" spans="2:14" x14ac:dyDescent="0.2">
      <c r="B546" s="778" t="s">
        <v>656</v>
      </c>
      <c r="C546" s="661">
        <v>8</v>
      </c>
      <c r="D546" s="779" t="s">
        <v>606</v>
      </c>
      <c r="E546" s="778" t="s">
        <v>755</v>
      </c>
      <c r="L546" s="546">
        <v>0</v>
      </c>
      <c r="M546" s="545" t="s">
        <v>389</v>
      </c>
      <c r="N546" s="545" t="s">
        <v>393</v>
      </c>
    </row>
    <row r="547" spans="2:14" x14ac:dyDescent="0.2">
      <c r="B547" s="778" t="s">
        <v>427</v>
      </c>
      <c r="C547" s="661">
        <v>6</v>
      </c>
      <c r="D547" s="779" t="s">
        <v>606</v>
      </c>
      <c r="E547" s="778" t="s">
        <v>755</v>
      </c>
      <c r="K547" s="544">
        <v>4</v>
      </c>
      <c r="L547" s="546">
        <v>0</v>
      </c>
      <c r="M547" s="545" t="s">
        <v>389</v>
      </c>
      <c r="N547" s="545" t="s">
        <v>394</v>
      </c>
    </row>
    <row r="548" spans="2:14" x14ac:dyDescent="0.2">
      <c r="B548" s="778" t="s">
        <v>741</v>
      </c>
      <c r="C548" s="661">
        <v>4</v>
      </c>
      <c r="D548" s="779" t="s">
        <v>606</v>
      </c>
      <c r="E548" s="778" t="s">
        <v>755</v>
      </c>
    </row>
    <row r="549" spans="2:14" x14ac:dyDescent="0.2">
      <c r="B549" s="778" t="s">
        <v>425</v>
      </c>
      <c r="C549" s="661">
        <v>4</v>
      </c>
      <c r="D549" s="779" t="s">
        <v>606</v>
      </c>
      <c r="E549" s="778" t="s">
        <v>756</v>
      </c>
      <c r="L549" s="546">
        <v>0</v>
      </c>
      <c r="M549" s="545" t="s">
        <v>389</v>
      </c>
      <c r="N549" s="545" t="s">
        <v>393</v>
      </c>
    </row>
    <row r="550" spans="2:14" x14ac:dyDescent="0.2">
      <c r="B550" s="778" t="s">
        <v>749</v>
      </c>
      <c r="C550" s="661">
        <v>4</v>
      </c>
      <c r="D550" s="779" t="s">
        <v>606</v>
      </c>
      <c r="E550" s="778" t="s">
        <v>756</v>
      </c>
    </row>
    <row r="551" spans="2:14" x14ac:dyDescent="0.2">
      <c r="B551" s="778" t="s">
        <v>713</v>
      </c>
      <c r="C551" s="661">
        <v>4</v>
      </c>
      <c r="D551" s="779" t="s">
        <v>606</v>
      </c>
      <c r="E551" s="778" t="s">
        <v>756</v>
      </c>
      <c r="L551" s="546">
        <v>0</v>
      </c>
      <c r="M551" s="545" t="s">
        <v>389</v>
      </c>
      <c r="N551" s="545" t="s">
        <v>393</v>
      </c>
    </row>
    <row r="552" spans="2:14" x14ac:dyDescent="0.2">
      <c r="B552" s="778" t="s">
        <v>655</v>
      </c>
      <c r="C552" s="661">
        <v>8</v>
      </c>
      <c r="D552" s="779" t="s">
        <v>606</v>
      </c>
      <c r="E552" s="778" t="s">
        <v>756</v>
      </c>
      <c r="L552" s="546">
        <v>0</v>
      </c>
      <c r="M552" s="545" t="s">
        <v>389</v>
      </c>
      <c r="N552" s="545" t="s">
        <v>393</v>
      </c>
    </row>
    <row r="553" spans="2:14" x14ac:dyDescent="0.2">
      <c r="B553" s="778" t="s">
        <v>518</v>
      </c>
      <c r="C553" s="661">
        <v>0</v>
      </c>
      <c r="D553" s="779" t="s">
        <v>606</v>
      </c>
      <c r="E553" s="778" t="s">
        <v>756</v>
      </c>
      <c r="L553" s="546">
        <v>0</v>
      </c>
      <c r="M553" s="545" t="s">
        <v>389</v>
      </c>
      <c r="N553" s="545" t="s">
        <v>393</v>
      </c>
    </row>
    <row r="554" spans="2:14" x14ac:dyDescent="0.2">
      <c r="B554" s="778" t="s">
        <v>583</v>
      </c>
      <c r="C554" s="661">
        <v>2</v>
      </c>
      <c r="D554" s="779" t="s">
        <v>606</v>
      </c>
      <c r="E554" s="778" t="s">
        <v>756</v>
      </c>
      <c r="L554" s="546">
        <v>0</v>
      </c>
      <c r="M554" s="545" t="s">
        <v>389</v>
      </c>
      <c r="N554" s="545" t="s">
        <v>393</v>
      </c>
    </row>
    <row r="555" spans="2:14" x14ac:dyDescent="0.2">
      <c r="B555" s="778" t="s">
        <v>584</v>
      </c>
      <c r="C555" s="661">
        <v>4</v>
      </c>
      <c r="D555" s="779" t="s">
        <v>606</v>
      </c>
      <c r="E555" s="778" t="s">
        <v>756</v>
      </c>
      <c r="L555" s="546">
        <v>0</v>
      </c>
      <c r="M555" s="545" t="s">
        <v>389</v>
      </c>
      <c r="N555" s="545" t="s">
        <v>393</v>
      </c>
    </row>
    <row r="556" spans="2:14" x14ac:dyDescent="0.2">
      <c r="B556" s="778" t="s">
        <v>656</v>
      </c>
      <c r="C556" s="661">
        <v>8</v>
      </c>
      <c r="D556" s="779" t="s">
        <v>606</v>
      </c>
      <c r="E556" s="778" t="s">
        <v>756</v>
      </c>
      <c r="L556" s="546">
        <v>0</v>
      </c>
      <c r="M556" s="545" t="s">
        <v>389</v>
      </c>
      <c r="N556" s="545" t="s">
        <v>393</v>
      </c>
    </row>
    <row r="557" spans="2:14" x14ac:dyDescent="0.2">
      <c r="B557" s="778" t="s">
        <v>427</v>
      </c>
      <c r="C557" s="661">
        <v>6</v>
      </c>
      <c r="D557" s="779" t="s">
        <v>606</v>
      </c>
      <c r="E557" s="778" t="s">
        <v>756</v>
      </c>
      <c r="K557" s="544">
        <v>4</v>
      </c>
      <c r="L557" s="546">
        <v>0</v>
      </c>
      <c r="M557" s="545" t="s">
        <v>389</v>
      </c>
      <c r="N557" s="545" t="s">
        <v>394</v>
      </c>
    </row>
    <row r="558" spans="2:14" x14ac:dyDescent="0.2">
      <c r="B558" s="778" t="s">
        <v>741</v>
      </c>
      <c r="C558" s="661">
        <v>4</v>
      </c>
      <c r="D558" s="779" t="s">
        <v>606</v>
      </c>
      <c r="E558" s="778" t="s">
        <v>756</v>
      </c>
    </row>
    <row r="559" spans="2:14" x14ac:dyDescent="0.2">
      <c r="B559" s="778" t="s">
        <v>425</v>
      </c>
      <c r="C559" s="661">
        <v>4</v>
      </c>
      <c r="D559" s="779" t="s">
        <v>606</v>
      </c>
      <c r="E559" s="778" t="s">
        <v>746</v>
      </c>
      <c r="L559" s="546">
        <v>0</v>
      </c>
      <c r="M559" s="545" t="s">
        <v>389</v>
      </c>
      <c r="N559" s="545" t="s">
        <v>393</v>
      </c>
    </row>
    <row r="560" spans="2:14" x14ac:dyDescent="0.2">
      <c r="B560" s="778" t="s">
        <v>749</v>
      </c>
      <c r="C560" s="661">
        <v>4</v>
      </c>
      <c r="D560" s="779" t="s">
        <v>606</v>
      </c>
      <c r="E560" s="778" t="s">
        <v>746</v>
      </c>
    </row>
    <row r="561" spans="2:14" x14ac:dyDescent="0.2">
      <c r="B561" s="778" t="s">
        <v>713</v>
      </c>
      <c r="C561" s="661">
        <v>4</v>
      </c>
      <c r="D561" s="779" t="s">
        <v>606</v>
      </c>
      <c r="E561" s="778" t="s">
        <v>746</v>
      </c>
      <c r="L561" s="546">
        <v>0</v>
      </c>
      <c r="M561" s="545" t="s">
        <v>389</v>
      </c>
      <c r="N561" s="545" t="s">
        <v>393</v>
      </c>
    </row>
    <row r="562" spans="2:14" x14ac:dyDescent="0.2">
      <c r="B562" s="778" t="s">
        <v>655</v>
      </c>
      <c r="C562" s="661">
        <v>8</v>
      </c>
      <c r="D562" s="779" t="s">
        <v>606</v>
      </c>
      <c r="E562" s="778" t="s">
        <v>746</v>
      </c>
      <c r="L562" s="546">
        <v>0</v>
      </c>
      <c r="M562" s="545" t="s">
        <v>389</v>
      </c>
      <c r="N562" s="545" t="s">
        <v>393</v>
      </c>
    </row>
    <row r="563" spans="2:14" x14ac:dyDescent="0.2">
      <c r="B563" s="778" t="s">
        <v>518</v>
      </c>
      <c r="C563" s="661">
        <v>0</v>
      </c>
      <c r="D563" s="779" t="s">
        <v>606</v>
      </c>
      <c r="E563" s="778" t="s">
        <v>746</v>
      </c>
      <c r="L563" s="546">
        <v>0</v>
      </c>
      <c r="M563" s="545" t="s">
        <v>389</v>
      </c>
      <c r="N563" s="545" t="s">
        <v>393</v>
      </c>
    </row>
    <row r="564" spans="2:14" x14ac:dyDescent="0.2">
      <c r="B564" s="778" t="s">
        <v>583</v>
      </c>
      <c r="C564" s="661">
        <v>4</v>
      </c>
      <c r="D564" s="779" t="s">
        <v>606</v>
      </c>
      <c r="E564" s="778" t="s">
        <v>746</v>
      </c>
      <c r="L564" s="546">
        <v>0</v>
      </c>
      <c r="M564" s="545" t="s">
        <v>389</v>
      </c>
      <c r="N564" s="545" t="s">
        <v>393</v>
      </c>
    </row>
    <row r="565" spans="2:14" x14ac:dyDescent="0.2">
      <c r="B565" s="778" t="s">
        <v>584</v>
      </c>
      <c r="C565" s="661">
        <v>8</v>
      </c>
      <c r="D565" s="779" t="s">
        <v>606</v>
      </c>
      <c r="E565" s="778" t="s">
        <v>746</v>
      </c>
      <c r="L565" s="546">
        <v>0</v>
      </c>
      <c r="M565" s="545" t="s">
        <v>389</v>
      </c>
      <c r="N565" s="545" t="s">
        <v>393</v>
      </c>
    </row>
    <row r="566" spans="2:14" x14ac:dyDescent="0.2">
      <c r="B566" s="778" t="s">
        <v>656</v>
      </c>
      <c r="C566" s="661">
        <v>8</v>
      </c>
      <c r="D566" s="779" t="s">
        <v>606</v>
      </c>
      <c r="E566" s="778" t="s">
        <v>746</v>
      </c>
      <c r="L566" s="546">
        <v>0</v>
      </c>
      <c r="M566" s="545" t="s">
        <v>389</v>
      </c>
      <c r="N566" s="545" t="s">
        <v>393</v>
      </c>
    </row>
    <row r="567" spans="2:14" x14ac:dyDescent="0.2">
      <c r="B567" s="778" t="s">
        <v>427</v>
      </c>
      <c r="C567" s="661">
        <v>8</v>
      </c>
      <c r="D567" s="779" t="s">
        <v>606</v>
      </c>
      <c r="E567" s="778" t="s">
        <v>746</v>
      </c>
      <c r="K567" s="544">
        <v>4</v>
      </c>
      <c r="L567" s="546">
        <v>0</v>
      </c>
      <c r="M567" s="545" t="s">
        <v>389</v>
      </c>
      <c r="N567" s="545" t="s">
        <v>394</v>
      </c>
    </row>
    <row r="568" spans="2:14" x14ac:dyDescent="0.2">
      <c r="B568" s="778" t="s">
        <v>741</v>
      </c>
      <c r="C568" s="661">
        <v>4</v>
      </c>
      <c r="D568" s="779" t="s">
        <v>606</v>
      </c>
      <c r="E568" s="778" t="s">
        <v>746</v>
      </c>
    </row>
    <row r="569" spans="2:14" x14ac:dyDescent="0.2">
      <c r="B569" s="778" t="s">
        <v>425</v>
      </c>
      <c r="C569" s="661">
        <v>30</v>
      </c>
      <c r="D569" s="779" t="s">
        <v>606</v>
      </c>
      <c r="E569" s="778" t="s">
        <v>599</v>
      </c>
      <c r="L569" s="546">
        <v>0</v>
      </c>
      <c r="M569" s="545" t="s">
        <v>389</v>
      </c>
      <c r="N569" s="545" t="s">
        <v>393</v>
      </c>
    </row>
    <row r="570" spans="2:14" x14ac:dyDescent="0.2">
      <c r="B570" s="778" t="s">
        <v>749</v>
      </c>
      <c r="C570" s="661">
        <v>30</v>
      </c>
      <c r="D570" s="779" t="s">
        <v>606</v>
      </c>
      <c r="E570" s="778" t="s">
        <v>599</v>
      </c>
    </row>
    <row r="571" spans="2:14" x14ac:dyDescent="0.2">
      <c r="B571" s="778" t="s">
        <v>713</v>
      </c>
      <c r="C571" s="661">
        <v>30</v>
      </c>
      <c r="D571" s="779" t="s">
        <v>606</v>
      </c>
      <c r="E571" s="778" t="s">
        <v>599</v>
      </c>
      <c r="L571" s="546">
        <v>0</v>
      </c>
      <c r="M571" s="545" t="s">
        <v>389</v>
      </c>
      <c r="N571" s="545" t="s">
        <v>393</v>
      </c>
    </row>
    <row r="572" spans="2:14" x14ac:dyDescent="0.2">
      <c r="B572" s="778" t="s">
        <v>655</v>
      </c>
      <c r="C572" s="661">
        <v>24</v>
      </c>
      <c r="D572" s="779" t="s">
        <v>606</v>
      </c>
      <c r="E572" s="778" t="s">
        <v>599</v>
      </c>
      <c r="L572" s="546">
        <v>0</v>
      </c>
      <c r="M572" s="545" t="s">
        <v>389</v>
      </c>
      <c r="N572" s="545" t="s">
        <v>393</v>
      </c>
    </row>
    <row r="573" spans="2:14" x14ac:dyDescent="0.2">
      <c r="B573" s="778" t="s">
        <v>518</v>
      </c>
      <c r="C573" s="661">
        <v>0</v>
      </c>
      <c r="D573" s="779" t="s">
        <v>606</v>
      </c>
      <c r="E573" s="778" t="s">
        <v>599</v>
      </c>
      <c r="L573" s="546">
        <v>0</v>
      </c>
      <c r="M573" s="545" t="s">
        <v>389</v>
      </c>
      <c r="N573" s="545" t="s">
        <v>393</v>
      </c>
    </row>
    <row r="574" spans="2:14" x14ac:dyDescent="0.2">
      <c r="B574" s="778" t="s">
        <v>583</v>
      </c>
      <c r="C574" s="661">
        <v>30</v>
      </c>
      <c r="D574" s="779" t="s">
        <v>606</v>
      </c>
      <c r="E574" s="778" t="s">
        <v>599</v>
      </c>
      <c r="L574" s="546">
        <v>0</v>
      </c>
      <c r="M574" s="545" t="s">
        <v>389</v>
      </c>
      <c r="N574" s="545" t="s">
        <v>393</v>
      </c>
    </row>
    <row r="575" spans="2:14" x14ac:dyDescent="0.2">
      <c r="B575" s="778" t="s">
        <v>584</v>
      </c>
      <c r="C575" s="661">
        <v>30</v>
      </c>
      <c r="D575" s="779" t="s">
        <v>606</v>
      </c>
      <c r="E575" s="778" t="s">
        <v>599</v>
      </c>
      <c r="L575" s="546">
        <v>0</v>
      </c>
      <c r="M575" s="545" t="s">
        <v>389</v>
      </c>
      <c r="N575" s="545" t="s">
        <v>393</v>
      </c>
    </row>
    <row r="576" spans="2:14" x14ac:dyDescent="0.2">
      <c r="B576" s="778" t="s">
        <v>656</v>
      </c>
      <c r="C576" s="661">
        <v>27</v>
      </c>
      <c r="D576" s="779" t="s">
        <v>606</v>
      </c>
      <c r="E576" s="778" t="s">
        <v>599</v>
      </c>
      <c r="L576" s="546">
        <v>0</v>
      </c>
      <c r="M576" s="545" t="s">
        <v>389</v>
      </c>
      <c r="N576" s="545" t="s">
        <v>393</v>
      </c>
    </row>
    <row r="577" spans="2:14" x14ac:dyDescent="0.2">
      <c r="B577" s="778" t="s">
        <v>427</v>
      </c>
      <c r="C577" s="661">
        <v>23</v>
      </c>
      <c r="D577" s="779" t="s">
        <v>606</v>
      </c>
      <c r="E577" s="778" t="s">
        <v>599</v>
      </c>
      <c r="K577" s="544">
        <v>4</v>
      </c>
      <c r="L577" s="546">
        <v>0</v>
      </c>
      <c r="M577" s="545" t="s">
        <v>389</v>
      </c>
      <c r="N577" s="545" t="s">
        <v>394</v>
      </c>
    </row>
    <row r="578" spans="2:14" x14ac:dyDescent="0.2">
      <c r="B578" s="778" t="s">
        <v>741</v>
      </c>
      <c r="C578" s="661">
        <v>0</v>
      </c>
      <c r="D578" s="779" t="s">
        <v>606</v>
      </c>
      <c r="E578" s="778" t="s">
        <v>599</v>
      </c>
    </row>
    <row r="579" spans="2:14" x14ac:dyDescent="0.2">
      <c r="B579" s="778" t="s">
        <v>425</v>
      </c>
      <c r="C579" s="661">
        <v>30</v>
      </c>
      <c r="D579" s="779" t="s">
        <v>606</v>
      </c>
      <c r="E579" s="778" t="s">
        <v>592</v>
      </c>
      <c r="L579" s="546">
        <v>0</v>
      </c>
      <c r="M579" s="545" t="s">
        <v>389</v>
      </c>
      <c r="N579" s="545" t="s">
        <v>393</v>
      </c>
    </row>
    <row r="580" spans="2:14" x14ac:dyDescent="0.2">
      <c r="B580" s="778" t="s">
        <v>749</v>
      </c>
      <c r="C580" s="661">
        <v>30</v>
      </c>
      <c r="D580" s="779" t="s">
        <v>606</v>
      </c>
      <c r="E580" s="778" t="s">
        <v>592</v>
      </c>
    </row>
    <row r="581" spans="2:14" x14ac:dyDescent="0.2">
      <c r="B581" s="778" t="s">
        <v>713</v>
      </c>
      <c r="C581" s="661">
        <v>30</v>
      </c>
      <c r="D581" s="779" t="s">
        <v>606</v>
      </c>
      <c r="E581" s="778" t="s">
        <v>592</v>
      </c>
      <c r="L581" s="546">
        <v>0</v>
      </c>
      <c r="M581" s="545" t="s">
        <v>389</v>
      </c>
      <c r="N581" s="545" t="s">
        <v>393</v>
      </c>
    </row>
    <row r="582" spans="2:14" x14ac:dyDescent="0.2">
      <c r="B582" s="778" t="s">
        <v>655</v>
      </c>
      <c r="C582" s="661">
        <v>32</v>
      </c>
      <c r="D582" s="779" t="s">
        <v>606</v>
      </c>
      <c r="E582" s="778" t="s">
        <v>592</v>
      </c>
      <c r="L582" s="546">
        <v>0</v>
      </c>
      <c r="M582" s="545" t="s">
        <v>389</v>
      </c>
      <c r="N582" s="545" t="s">
        <v>393</v>
      </c>
    </row>
    <row r="583" spans="2:14" x14ac:dyDescent="0.2">
      <c r="B583" s="778" t="s">
        <v>518</v>
      </c>
      <c r="C583" s="661">
        <v>0</v>
      </c>
      <c r="D583" s="779" t="s">
        <v>606</v>
      </c>
      <c r="E583" s="778" t="s">
        <v>592</v>
      </c>
      <c r="L583" s="546">
        <v>0</v>
      </c>
      <c r="M583" s="545" t="s">
        <v>389</v>
      </c>
      <c r="N583" s="545" t="s">
        <v>393</v>
      </c>
    </row>
    <row r="584" spans="2:14" x14ac:dyDescent="0.2">
      <c r="B584" s="778" t="s">
        <v>583</v>
      </c>
      <c r="C584" s="661">
        <v>30</v>
      </c>
      <c r="D584" s="779" t="s">
        <v>606</v>
      </c>
      <c r="E584" s="778" t="s">
        <v>592</v>
      </c>
      <c r="L584" s="546">
        <v>0</v>
      </c>
      <c r="M584" s="545" t="s">
        <v>389</v>
      </c>
      <c r="N584" s="545" t="s">
        <v>393</v>
      </c>
    </row>
    <row r="585" spans="2:14" x14ac:dyDescent="0.2">
      <c r="B585" s="778" t="s">
        <v>584</v>
      </c>
      <c r="C585" s="661">
        <v>30</v>
      </c>
      <c r="D585" s="779" t="s">
        <v>606</v>
      </c>
      <c r="E585" s="778" t="s">
        <v>592</v>
      </c>
      <c r="L585" s="546">
        <v>0</v>
      </c>
      <c r="M585" s="545" t="s">
        <v>389</v>
      </c>
      <c r="N585" s="545" t="s">
        <v>393</v>
      </c>
    </row>
    <row r="586" spans="2:14" x14ac:dyDescent="0.2">
      <c r="B586" s="778" t="s">
        <v>656</v>
      </c>
      <c r="C586" s="661">
        <v>34</v>
      </c>
      <c r="D586" s="779" t="s">
        <v>606</v>
      </c>
      <c r="E586" s="778" t="s">
        <v>592</v>
      </c>
      <c r="L586" s="546">
        <v>0</v>
      </c>
      <c r="M586" s="545" t="s">
        <v>389</v>
      </c>
      <c r="N586" s="545" t="s">
        <v>393</v>
      </c>
    </row>
    <row r="587" spans="2:14" x14ac:dyDescent="0.2">
      <c r="B587" s="778" t="s">
        <v>427</v>
      </c>
      <c r="C587" s="661">
        <v>23</v>
      </c>
      <c r="D587" s="779" t="s">
        <v>606</v>
      </c>
      <c r="E587" s="778" t="s">
        <v>592</v>
      </c>
      <c r="K587" s="544">
        <v>4</v>
      </c>
      <c r="L587" s="546">
        <v>0</v>
      </c>
      <c r="M587" s="545" t="s">
        <v>389</v>
      </c>
      <c r="N587" s="545" t="s">
        <v>394</v>
      </c>
    </row>
    <row r="588" spans="2:14" x14ac:dyDescent="0.2">
      <c r="B588" s="778" t="s">
        <v>741</v>
      </c>
      <c r="C588" s="661">
        <v>0</v>
      </c>
      <c r="D588" s="779" t="s">
        <v>606</v>
      </c>
      <c r="E588" s="778" t="s">
        <v>592</v>
      </c>
    </row>
    <row r="589" spans="2:14" x14ac:dyDescent="0.2">
      <c r="B589" s="778" t="s">
        <v>425</v>
      </c>
      <c r="C589" s="661">
        <v>25</v>
      </c>
      <c r="D589" s="779" t="s">
        <v>606</v>
      </c>
      <c r="E589" s="778" t="s">
        <v>603</v>
      </c>
      <c r="L589" s="546">
        <v>0</v>
      </c>
      <c r="M589" s="545" t="s">
        <v>389</v>
      </c>
      <c r="N589" s="545" t="s">
        <v>393</v>
      </c>
    </row>
    <row r="590" spans="2:14" x14ac:dyDescent="0.2">
      <c r="B590" s="778" t="s">
        <v>749</v>
      </c>
      <c r="C590" s="661">
        <v>25</v>
      </c>
      <c r="D590" s="779" t="s">
        <v>606</v>
      </c>
      <c r="E590" s="778" t="s">
        <v>603</v>
      </c>
    </row>
    <row r="591" spans="2:14" x14ac:dyDescent="0.2">
      <c r="B591" s="778" t="s">
        <v>713</v>
      </c>
      <c r="C591" s="661">
        <v>25</v>
      </c>
      <c r="D591" s="779" t="s">
        <v>606</v>
      </c>
      <c r="E591" s="778" t="s">
        <v>603</v>
      </c>
      <c r="L591" s="546">
        <v>0</v>
      </c>
      <c r="M591" s="545" t="s">
        <v>389</v>
      </c>
      <c r="N591" s="545" t="s">
        <v>393</v>
      </c>
    </row>
    <row r="592" spans="2:14" x14ac:dyDescent="0.2">
      <c r="B592" s="778" t="s">
        <v>655</v>
      </c>
      <c r="C592" s="661">
        <v>19</v>
      </c>
      <c r="D592" s="779" t="s">
        <v>606</v>
      </c>
      <c r="E592" s="778" t="s">
        <v>603</v>
      </c>
      <c r="L592" s="546">
        <v>0</v>
      </c>
      <c r="M592" s="545" t="s">
        <v>389</v>
      </c>
      <c r="N592" s="545" t="s">
        <v>393</v>
      </c>
    </row>
    <row r="593" spans="2:14" x14ac:dyDescent="0.2">
      <c r="B593" s="778" t="s">
        <v>518</v>
      </c>
      <c r="C593" s="661">
        <v>0</v>
      </c>
      <c r="D593" s="779" t="s">
        <v>606</v>
      </c>
      <c r="E593" s="778" t="s">
        <v>603</v>
      </c>
      <c r="L593" s="546">
        <v>0</v>
      </c>
      <c r="M593" s="545" t="s">
        <v>389</v>
      </c>
      <c r="N593" s="545" t="s">
        <v>393</v>
      </c>
    </row>
    <row r="594" spans="2:14" x14ac:dyDescent="0.2">
      <c r="B594" s="778" t="s">
        <v>583</v>
      </c>
      <c r="C594" s="661">
        <v>25</v>
      </c>
      <c r="D594" s="779" t="s">
        <v>606</v>
      </c>
      <c r="E594" s="778" t="s">
        <v>603</v>
      </c>
      <c r="L594" s="546">
        <v>0</v>
      </c>
      <c r="M594" s="545" t="s">
        <v>389</v>
      </c>
      <c r="N594" s="545" t="s">
        <v>393</v>
      </c>
    </row>
    <row r="595" spans="2:14" x14ac:dyDescent="0.2">
      <c r="B595" s="778" t="s">
        <v>584</v>
      </c>
      <c r="C595" s="661">
        <v>25</v>
      </c>
      <c r="D595" s="779" t="s">
        <v>606</v>
      </c>
      <c r="E595" s="778" t="s">
        <v>603</v>
      </c>
      <c r="L595" s="546">
        <v>0</v>
      </c>
      <c r="M595" s="545" t="s">
        <v>389</v>
      </c>
      <c r="N595" s="545" t="s">
        <v>393</v>
      </c>
    </row>
    <row r="596" spans="2:14" x14ac:dyDescent="0.2">
      <c r="B596" s="778" t="s">
        <v>656</v>
      </c>
      <c r="C596" s="661">
        <v>22</v>
      </c>
      <c r="D596" s="779" t="s">
        <v>606</v>
      </c>
      <c r="E596" s="778" t="s">
        <v>603</v>
      </c>
      <c r="L596" s="546">
        <v>0</v>
      </c>
      <c r="M596" s="545" t="s">
        <v>389</v>
      </c>
      <c r="N596" s="545" t="s">
        <v>393</v>
      </c>
    </row>
    <row r="597" spans="2:14" x14ac:dyDescent="0.2">
      <c r="B597" s="778" t="s">
        <v>427</v>
      </c>
      <c r="C597" s="661">
        <v>23</v>
      </c>
      <c r="D597" s="779" t="s">
        <v>606</v>
      </c>
      <c r="E597" s="778" t="s">
        <v>603</v>
      </c>
      <c r="K597" s="544">
        <v>4</v>
      </c>
      <c r="L597" s="546">
        <v>0</v>
      </c>
      <c r="M597" s="545" t="s">
        <v>389</v>
      </c>
      <c r="N597" s="545" t="s">
        <v>394</v>
      </c>
    </row>
    <row r="598" spans="2:14" x14ac:dyDescent="0.2">
      <c r="B598" s="778" t="s">
        <v>741</v>
      </c>
      <c r="C598" s="661">
        <v>0</v>
      </c>
      <c r="D598" s="779" t="s">
        <v>606</v>
      </c>
      <c r="E598" s="778" t="s">
        <v>603</v>
      </c>
    </row>
    <row r="599" spans="2:14" x14ac:dyDescent="0.2">
      <c r="B599" s="778" t="s">
        <v>425</v>
      </c>
      <c r="C599" s="661">
        <v>25</v>
      </c>
      <c r="D599" s="779" t="s">
        <v>606</v>
      </c>
      <c r="E599" s="778" t="s">
        <v>593</v>
      </c>
      <c r="L599" s="546">
        <v>0</v>
      </c>
      <c r="M599" s="545" t="s">
        <v>389</v>
      </c>
      <c r="N599" s="545" t="s">
        <v>393</v>
      </c>
    </row>
    <row r="600" spans="2:14" x14ac:dyDescent="0.2">
      <c r="B600" s="778" t="s">
        <v>749</v>
      </c>
      <c r="C600" s="661">
        <v>25</v>
      </c>
      <c r="D600" s="779" t="s">
        <v>606</v>
      </c>
      <c r="E600" s="778" t="s">
        <v>593</v>
      </c>
    </row>
    <row r="601" spans="2:14" x14ac:dyDescent="0.2">
      <c r="B601" s="778" t="s">
        <v>713</v>
      </c>
      <c r="C601" s="661">
        <v>25</v>
      </c>
      <c r="D601" s="779" t="s">
        <v>606</v>
      </c>
      <c r="E601" s="778" t="s">
        <v>593</v>
      </c>
      <c r="L601" s="546">
        <v>0</v>
      </c>
      <c r="M601" s="545" t="s">
        <v>389</v>
      </c>
      <c r="N601" s="545" t="s">
        <v>393</v>
      </c>
    </row>
    <row r="602" spans="2:14" x14ac:dyDescent="0.2">
      <c r="B602" s="778" t="s">
        <v>655</v>
      </c>
      <c r="C602" s="661">
        <v>19</v>
      </c>
      <c r="D602" s="779" t="s">
        <v>606</v>
      </c>
      <c r="E602" s="778" t="s">
        <v>593</v>
      </c>
      <c r="L602" s="546">
        <v>0</v>
      </c>
      <c r="M602" s="545" t="s">
        <v>389</v>
      </c>
      <c r="N602" s="545" t="s">
        <v>393</v>
      </c>
    </row>
    <row r="603" spans="2:14" x14ac:dyDescent="0.2">
      <c r="B603" s="778" t="s">
        <v>518</v>
      </c>
      <c r="C603" s="661">
        <v>0</v>
      </c>
      <c r="D603" s="779" t="s">
        <v>606</v>
      </c>
      <c r="E603" s="778" t="s">
        <v>593</v>
      </c>
      <c r="L603" s="546">
        <v>0</v>
      </c>
      <c r="M603" s="545" t="s">
        <v>389</v>
      </c>
      <c r="N603" s="545" t="s">
        <v>393</v>
      </c>
    </row>
    <row r="604" spans="2:14" x14ac:dyDescent="0.2">
      <c r="B604" s="778" t="s">
        <v>583</v>
      </c>
      <c r="C604" s="661">
        <v>25</v>
      </c>
      <c r="D604" s="779" t="s">
        <v>606</v>
      </c>
      <c r="E604" s="778" t="s">
        <v>593</v>
      </c>
      <c r="L604" s="546">
        <v>0</v>
      </c>
      <c r="M604" s="545" t="s">
        <v>389</v>
      </c>
      <c r="N604" s="545" t="s">
        <v>393</v>
      </c>
    </row>
    <row r="605" spans="2:14" x14ac:dyDescent="0.2">
      <c r="B605" s="778" t="s">
        <v>584</v>
      </c>
      <c r="C605" s="661">
        <v>25</v>
      </c>
      <c r="D605" s="779" t="s">
        <v>606</v>
      </c>
      <c r="E605" s="778" t="s">
        <v>593</v>
      </c>
      <c r="L605" s="546">
        <v>0</v>
      </c>
      <c r="M605" s="545" t="s">
        <v>389</v>
      </c>
      <c r="N605" s="545" t="s">
        <v>393</v>
      </c>
    </row>
    <row r="606" spans="2:14" x14ac:dyDescent="0.2">
      <c r="B606" s="778" t="s">
        <v>656</v>
      </c>
      <c r="C606" s="661">
        <v>22</v>
      </c>
      <c r="D606" s="779" t="s">
        <v>606</v>
      </c>
      <c r="E606" s="778" t="s">
        <v>593</v>
      </c>
      <c r="L606" s="546">
        <v>0</v>
      </c>
      <c r="M606" s="545" t="s">
        <v>389</v>
      </c>
      <c r="N606" s="545" t="s">
        <v>393</v>
      </c>
    </row>
    <row r="607" spans="2:14" x14ac:dyDescent="0.2">
      <c r="B607" s="778" t="s">
        <v>427</v>
      </c>
      <c r="C607" s="661">
        <v>23</v>
      </c>
      <c r="D607" s="779" t="s">
        <v>606</v>
      </c>
      <c r="E607" s="778" t="s">
        <v>593</v>
      </c>
      <c r="K607" s="544">
        <v>4</v>
      </c>
      <c r="L607" s="546">
        <v>0</v>
      </c>
      <c r="M607" s="545" t="s">
        <v>389</v>
      </c>
      <c r="N607" s="545" t="s">
        <v>394</v>
      </c>
    </row>
    <row r="608" spans="2:14" x14ac:dyDescent="0.2">
      <c r="B608" s="778" t="s">
        <v>741</v>
      </c>
      <c r="C608" s="661">
        <v>0</v>
      </c>
      <c r="D608" s="779" t="s">
        <v>606</v>
      </c>
      <c r="E608" s="778" t="s">
        <v>593</v>
      </c>
    </row>
    <row r="609" spans="2:14" x14ac:dyDescent="0.2">
      <c r="B609" s="778" t="s">
        <v>425</v>
      </c>
      <c r="C609" s="661">
        <v>18</v>
      </c>
      <c r="D609" s="779" t="s">
        <v>606</v>
      </c>
      <c r="E609" s="778" t="s">
        <v>597</v>
      </c>
      <c r="L609" s="546">
        <v>0</v>
      </c>
      <c r="M609" s="545" t="s">
        <v>389</v>
      </c>
      <c r="N609" s="545" t="s">
        <v>393</v>
      </c>
    </row>
    <row r="610" spans="2:14" x14ac:dyDescent="0.2">
      <c r="B610" s="778" t="s">
        <v>749</v>
      </c>
      <c r="C610" s="661">
        <v>18</v>
      </c>
      <c r="D610" s="779" t="s">
        <v>606</v>
      </c>
      <c r="E610" s="778" t="s">
        <v>597</v>
      </c>
    </row>
    <row r="611" spans="2:14" x14ac:dyDescent="0.2">
      <c r="B611" s="778" t="s">
        <v>713</v>
      </c>
      <c r="C611" s="661">
        <v>18</v>
      </c>
      <c r="D611" s="779" t="s">
        <v>606</v>
      </c>
      <c r="E611" s="778" t="s">
        <v>597</v>
      </c>
      <c r="L611" s="546">
        <v>0</v>
      </c>
      <c r="M611" s="545" t="s">
        <v>389</v>
      </c>
      <c r="N611" s="545" t="s">
        <v>393</v>
      </c>
    </row>
    <row r="612" spans="2:14" x14ac:dyDescent="0.2">
      <c r="B612" s="778" t="s">
        <v>655</v>
      </c>
      <c r="C612" s="661">
        <v>8</v>
      </c>
      <c r="D612" s="779" t="s">
        <v>606</v>
      </c>
      <c r="E612" s="778" t="s">
        <v>597</v>
      </c>
      <c r="L612" s="546">
        <v>0</v>
      </c>
      <c r="M612" s="545" t="s">
        <v>389</v>
      </c>
      <c r="N612" s="545" t="s">
        <v>393</v>
      </c>
    </row>
    <row r="613" spans="2:14" x14ac:dyDescent="0.2">
      <c r="B613" s="778" t="s">
        <v>518</v>
      </c>
      <c r="C613" s="661">
        <v>0</v>
      </c>
      <c r="D613" s="779" t="s">
        <v>606</v>
      </c>
      <c r="E613" s="778" t="s">
        <v>597</v>
      </c>
      <c r="L613" s="546">
        <v>0</v>
      </c>
      <c r="M613" s="545" t="s">
        <v>389</v>
      </c>
      <c r="N613" s="545" t="s">
        <v>393</v>
      </c>
    </row>
    <row r="614" spans="2:14" x14ac:dyDescent="0.2">
      <c r="B614" s="778" t="s">
        <v>583</v>
      </c>
      <c r="C614" s="661">
        <v>13</v>
      </c>
      <c r="D614" s="779" t="s">
        <v>606</v>
      </c>
      <c r="E614" s="778" t="s">
        <v>597</v>
      </c>
      <c r="L614" s="546">
        <v>0</v>
      </c>
      <c r="M614" s="545" t="s">
        <v>389</v>
      </c>
      <c r="N614" s="545" t="s">
        <v>393</v>
      </c>
    </row>
    <row r="615" spans="2:14" x14ac:dyDescent="0.2">
      <c r="B615" s="778" t="s">
        <v>584</v>
      </c>
      <c r="C615" s="661">
        <v>13</v>
      </c>
      <c r="D615" s="779" t="s">
        <v>606</v>
      </c>
      <c r="E615" s="778" t="s">
        <v>597</v>
      </c>
      <c r="L615" s="546">
        <v>0</v>
      </c>
      <c r="M615" s="545" t="s">
        <v>389</v>
      </c>
      <c r="N615" s="545" t="s">
        <v>393</v>
      </c>
    </row>
    <row r="616" spans="2:14" x14ac:dyDescent="0.2">
      <c r="B616" s="778" t="s">
        <v>656</v>
      </c>
      <c r="C616" s="661">
        <v>8</v>
      </c>
      <c r="D616" s="779" t="s">
        <v>606</v>
      </c>
      <c r="E616" s="778" t="s">
        <v>597</v>
      </c>
      <c r="L616" s="546">
        <v>0</v>
      </c>
      <c r="M616" s="545" t="s">
        <v>389</v>
      </c>
      <c r="N616" s="545" t="s">
        <v>393</v>
      </c>
    </row>
    <row r="617" spans="2:14" x14ac:dyDescent="0.2">
      <c r="B617" s="778" t="s">
        <v>427</v>
      </c>
      <c r="C617" s="661">
        <v>10</v>
      </c>
      <c r="D617" s="779" t="s">
        <v>606</v>
      </c>
      <c r="E617" s="778" t="s">
        <v>597</v>
      </c>
      <c r="K617" s="544">
        <v>4</v>
      </c>
      <c r="L617" s="546">
        <v>0</v>
      </c>
      <c r="M617" s="545" t="s">
        <v>389</v>
      </c>
      <c r="N617" s="545" t="s">
        <v>394</v>
      </c>
    </row>
    <row r="618" spans="2:14" x14ac:dyDescent="0.2">
      <c r="B618" s="778" t="s">
        <v>741</v>
      </c>
      <c r="C618" s="661">
        <v>0</v>
      </c>
      <c r="D618" s="779" t="s">
        <v>606</v>
      </c>
      <c r="E618" s="778" t="s">
        <v>597</v>
      </c>
      <c r="K618" s="544">
        <v>4</v>
      </c>
      <c r="L618" s="546">
        <v>0</v>
      </c>
      <c r="M618" s="545" t="s">
        <v>389</v>
      </c>
      <c r="N618" s="545" t="s">
        <v>394</v>
      </c>
    </row>
  </sheetData>
  <sheetProtection selectLockedCells="1" selectUnlockedCells="1"/>
  <phoneticPr fontId="65" type="noConversion"/>
  <pageMargins left="0.70866141732283472" right="0.70866141732283472" top="0.74803149606299213" bottom="0.74803149606299213" header="0.31496062992125984" footer="0.31496062992125984"/>
  <pageSetup paperSize="9" scale="1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5">
    <tabColor rgb="FFFF0000"/>
  </sheetPr>
  <dimension ref="A1:Y65"/>
  <sheetViews>
    <sheetView showGridLines="0" view="pageBreakPreview" zoomScale="75" zoomScaleNormal="100" workbookViewId="0">
      <pane xSplit="1" ySplit="7" topLeftCell="I8" activePane="bottomRight" state="frozen"/>
      <selection sqref="A1:IV65536"/>
      <selection pane="topRight" sqref="A1:IV65536"/>
      <selection pane="bottomLeft" sqref="A1:IV65536"/>
      <selection pane="bottomRight" activeCell="T8" sqref="T8:V46"/>
    </sheetView>
  </sheetViews>
  <sheetFormatPr defaultColWidth="11.42578125" defaultRowHeight="18" x14ac:dyDescent="0.25"/>
  <cols>
    <col min="1" max="1" width="43" style="3" customWidth="1"/>
    <col min="2" max="3" width="9.7109375" style="2" customWidth="1"/>
    <col min="4" max="4" width="9.85546875" style="2" customWidth="1"/>
    <col min="5" max="5" width="6.140625" style="71" hidden="1" customWidth="1"/>
    <col min="6" max="7" width="9" style="71" hidden="1" customWidth="1"/>
    <col min="8" max="8" width="19.42578125" style="71" customWidth="1"/>
    <col min="9" max="9" width="9" style="71" customWidth="1"/>
    <col min="10" max="10" width="11.5703125" style="4" customWidth="1"/>
    <col min="11" max="11" width="11.5703125" style="2" customWidth="1"/>
    <col min="12" max="12" width="11.5703125" style="5" customWidth="1"/>
    <col min="13" max="13" width="11.5703125" style="4" customWidth="1"/>
    <col min="14" max="14" width="11.5703125" style="56" customWidth="1"/>
    <col min="15" max="15" width="12.7109375" style="2" customWidth="1"/>
    <col min="16" max="16" width="11.5703125" style="5" customWidth="1"/>
    <col min="17" max="19" width="15.140625" style="2" customWidth="1"/>
    <col min="20" max="20" width="11.42578125" style="2"/>
    <col min="21" max="21" width="11.42578125" style="79"/>
    <col min="22" max="22" width="12.140625" style="79" customWidth="1"/>
    <col min="23" max="23" width="9.7109375" style="86" customWidth="1"/>
    <col min="24" max="24" width="11.42578125" style="79"/>
    <col min="25" max="25" width="9.140625" customWidth="1"/>
    <col min="26" max="16384" width="11.42578125" style="2"/>
  </cols>
  <sheetData>
    <row r="1" spans="1:25" ht="26.25" x14ac:dyDescent="0.4">
      <c r="A1" s="75" t="s">
        <v>19</v>
      </c>
    </row>
    <row r="2" spans="1:25" s="27" customFormat="1" ht="26.25" x14ac:dyDescent="0.4">
      <c r="A2" s="75" t="s">
        <v>20</v>
      </c>
      <c r="E2" s="72"/>
      <c r="F2" s="72"/>
      <c r="G2" s="72"/>
      <c r="H2" s="72"/>
      <c r="I2" s="72"/>
      <c r="J2" s="28"/>
      <c r="L2" s="29"/>
      <c r="M2" s="28"/>
      <c r="N2" s="57"/>
      <c r="P2" s="29"/>
      <c r="U2" s="2"/>
      <c r="V2" s="2"/>
      <c r="W2" s="82"/>
      <c r="X2" s="2"/>
    </row>
    <row r="3" spans="1:25" s="27" customFormat="1" ht="60" customHeight="1" x14ac:dyDescent="0.4">
      <c r="A3" s="2" t="s">
        <v>53</v>
      </c>
      <c r="E3" s="72"/>
      <c r="F3" s="72"/>
      <c r="G3" s="72"/>
      <c r="H3" s="72"/>
      <c r="I3" s="72"/>
      <c r="J3" s="28"/>
      <c r="L3" s="29"/>
      <c r="M3" s="28"/>
      <c r="N3" s="57"/>
      <c r="P3" s="29"/>
      <c r="U3" s="2"/>
      <c r="V3" s="2"/>
      <c r="W3" s="82"/>
      <c r="X3" s="2"/>
    </row>
    <row r="4" spans="1:25" x14ac:dyDescent="0.25">
      <c r="A4" s="1248" t="str">
        <f>'ЛАЙТ Рязань'!A4</f>
        <v>03.03.2011г.</v>
      </c>
      <c r="B4" s="1249"/>
      <c r="C4" s="1249"/>
      <c r="D4" s="1249"/>
      <c r="E4" s="1249"/>
      <c r="F4" s="1249"/>
      <c r="G4" s="1249"/>
      <c r="H4" s="1249"/>
      <c r="I4" s="1249"/>
      <c r="J4" s="1249"/>
      <c r="K4" s="1249"/>
      <c r="L4" s="1249"/>
      <c r="M4" s="1249"/>
      <c r="N4" s="1249"/>
      <c r="O4" s="1249"/>
      <c r="P4" s="1249"/>
      <c r="Q4" s="1249"/>
      <c r="R4" s="1249"/>
      <c r="S4" s="1249"/>
      <c r="T4" s="7"/>
    </row>
    <row r="5" spans="1:25" ht="18.75" thickBot="1" x14ac:dyDescent="0.3">
      <c r="A5" s="6"/>
      <c r="B5" s="7"/>
      <c r="C5" s="7"/>
      <c r="D5" s="7"/>
      <c r="E5" s="73"/>
      <c r="F5" s="73"/>
      <c r="G5" s="73"/>
      <c r="H5" s="73"/>
      <c r="I5" s="73"/>
      <c r="J5" s="7"/>
      <c r="K5" s="7"/>
      <c r="L5" s="7"/>
      <c r="M5" s="67"/>
      <c r="N5" s="58"/>
      <c r="O5" s="7"/>
      <c r="P5" s="7"/>
      <c r="Q5" s="7"/>
      <c r="R5" s="7"/>
      <c r="S5" s="7"/>
      <c r="T5" s="7"/>
    </row>
    <row r="6" spans="1:25" ht="72.75" customHeight="1" thickBot="1" x14ac:dyDescent="0.3">
      <c r="A6" s="1250" t="s">
        <v>0</v>
      </c>
      <c r="B6" s="1252" t="s">
        <v>1</v>
      </c>
      <c r="C6" s="1254" t="s">
        <v>2</v>
      </c>
      <c r="D6" s="1256" t="s">
        <v>3</v>
      </c>
      <c r="E6" s="1260" t="s">
        <v>36</v>
      </c>
      <c r="F6" s="1260" t="s">
        <v>56</v>
      </c>
      <c r="G6" s="109"/>
      <c r="H6" s="1260" t="s">
        <v>133</v>
      </c>
      <c r="I6" s="1260" t="s">
        <v>56</v>
      </c>
      <c r="J6" s="1276" t="s">
        <v>49</v>
      </c>
      <c r="K6" s="1277"/>
      <c r="L6" s="1278"/>
      <c r="M6" s="1273" t="s">
        <v>48</v>
      </c>
      <c r="N6" s="1274"/>
      <c r="O6" s="1265" t="s">
        <v>44</v>
      </c>
      <c r="P6" s="1266"/>
      <c r="Q6" s="1264" t="s">
        <v>340</v>
      </c>
      <c r="R6" s="1265"/>
      <c r="S6" s="1266"/>
    </row>
    <row r="7" spans="1:25" ht="38.25" customHeight="1" thickBot="1" x14ac:dyDescent="0.3">
      <c r="A7" s="1251"/>
      <c r="B7" s="1253"/>
      <c r="C7" s="1255"/>
      <c r="D7" s="1257"/>
      <c r="E7" s="1300"/>
      <c r="F7" s="1262"/>
      <c r="G7" s="110"/>
      <c r="H7" s="1263"/>
      <c r="I7" s="1263"/>
      <c r="J7" s="472" t="s">
        <v>5</v>
      </c>
      <c r="K7" s="473" t="s">
        <v>17</v>
      </c>
      <c r="L7" s="478" t="s">
        <v>18</v>
      </c>
      <c r="M7" s="475" t="s">
        <v>47</v>
      </c>
      <c r="N7" s="476" t="s">
        <v>18</v>
      </c>
      <c r="O7" s="482" t="s">
        <v>43</v>
      </c>
      <c r="P7" s="476" t="s">
        <v>42</v>
      </c>
      <c r="Q7" s="458" t="s">
        <v>6</v>
      </c>
      <c r="R7" s="54" t="s">
        <v>18</v>
      </c>
      <c r="S7" s="41" t="s">
        <v>22</v>
      </c>
      <c r="U7" s="2"/>
      <c r="V7" s="2"/>
      <c r="W7" s="82"/>
      <c r="X7" s="2"/>
    </row>
    <row r="8" spans="1:25" ht="24.95" customHeight="1" x14ac:dyDescent="0.25">
      <c r="A8" s="35" t="s">
        <v>33</v>
      </c>
      <c r="B8" s="9">
        <v>1200</v>
      </c>
      <c r="C8" s="10">
        <v>600</v>
      </c>
      <c r="D8" s="11">
        <v>80</v>
      </c>
      <c r="E8" s="106" t="s">
        <v>46</v>
      </c>
      <c r="F8" s="112">
        <v>161.29032258064515</v>
      </c>
      <c r="G8" s="112">
        <v>23.33482676224612</v>
      </c>
      <c r="H8" s="211" t="s">
        <v>199</v>
      </c>
      <c r="I8" s="197">
        <v>497.66399999999993</v>
      </c>
      <c r="J8" s="453">
        <v>5</v>
      </c>
      <c r="K8" s="185">
        <v>3.6</v>
      </c>
      <c r="L8" s="188">
        <v>0.28799999999999998</v>
      </c>
      <c r="M8" s="45">
        <v>24</v>
      </c>
      <c r="N8" s="180">
        <v>6.911999999999999</v>
      </c>
      <c r="O8" s="201">
        <v>76.031999999999982</v>
      </c>
      <c r="P8" s="46"/>
      <c r="Q8" s="88">
        <f>L8*R8</f>
        <v>976.60799999999995</v>
      </c>
      <c r="R8" s="645">
        <v>3391</v>
      </c>
      <c r="S8" s="101">
        <f>R8*D8/1000</f>
        <v>271.27999999999997</v>
      </c>
      <c r="T8" s="4"/>
      <c r="U8" s="4"/>
      <c r="V8" s="2"/>
      <c r="W8" s="82"/>
      <c r="X8" s="2"/>
      <c r="Y8" s="2"/>
    </row>
    <row r="9" spans="1:25" ht="24.95" customHeight="1" x14ac:dyDescent="0.25">
      <c r="A9" s="1246" t="s">
        <v>27</v>
      </c>
      <c r="B9" s="12">
        <v>1200</v>
      </c>
      <c r="C9" s="13">
        <v>600</v>
      </c>
      <c r="D9" s="14">
        <v>90</v>
      </c>
      <c r="E9" s="107" t="s">
        <v>46</v>
      </c>
      <c r="F9" s="112">
        <v>166.66666666666666</v>
      </c>
      <c r="G9" s="112">
        <v>26.791838134430726</v>
      </c>
      <c r="H9" s="211" t="s">
        <v>269</v>
      </c>
      <c r="I9" s="197">
        <v>447.89759999999995</v>
      </c>
      <c r="J9" s="47">
        <v>4</v>
      </c>
      <c r="K9" s="181">
        <v>2.88</v>
      </c>
      <c r="L9" s="198">
        <v>0.25919999999999999</v>
      </c>
      <c r="M9" s="47">
        <v>24</v>
      </c>
      <c r="N9" s="182">
        <v>6.2207999999999997</v>
      </c>
      <c r="O9" s="192">
        <v>68.428799999999995</v>
      </c>
      <c r="P9" s="48"/>
      <c r="Q9" s="88">
        <f t="shared" ref="Q9:Q46" si="0">L9*R9</f>
        <v>854.84159999999997</v>
      </c>
      <c r="R9" s="645">
        <v>3298</v>
      </c>
      <c r="S9" s="101">
        <f t="shared" ref="S9:S46" si="1">R9*D9/1000</f>
        <v>296.82</v>
      </c>
      <c r="T9" s="4"/>
      <c r="U9" s="4"/>
      <c r="V9" s="2"/>
      <c r="W9" s="82"/>
      <c r="X9" s="2"/>
      <c r="Y9" s="2"/>
    </row>
    <row r="10" spans="1:25" ht="24.95" customHeight="1" x14ac:dyDescent="0.25">
      <c r="A10" s="1246"/>
      <c r="B10" s="12">
        <v>1200</v>
      </c>
      <c r="C10" s="13">
        <v>600</v>
      </c>
      <c r="D10" s="14">
        <v>100</v>
      </c>
      <c r="E10" s="107" t="s">
        <v>46</v>
      </c>
      <c r="F10" s="112"/>
      <c r="G10" s="112">
        <v>0</v>
      </c>
      <c r="H10" s="211" t="s">
        <v>200</v>
      </c>
      <c r="I10" s="197">
        <v>497.66399999999993</v>
      </c>
      <c r="J10" s="47">
        <v>4</v>
      </c>
      <c r="K10" s="181">
        <v>2.88</v>
      </c>
      <c r="L10" s="198">
        <v>0.28799999999999998</v>
      </c>
      <c r="M10" s="47">
        <v>24</v>
      </c>
      <c r="N10" s="182">
        <v>6.911999999999999</v>
      </c>
      <c r="O10" s="192">
        <v>76.031999999999982</v>
      </c>
      <c r="P10" s="48"/>
      <c r="Q10" s="88">
        <f t="shared" si="0"/>
        <v>928.22399999999993</v>
      </c>
      <c r="R10" s="645">
        <v>3223</v>
      </c>
      <c r="S10" s="101">
        <f t="shared" si="1"/>
        <v>322.3</v>
      </c>
      <c r="T10" s="4"/>
      <c r="U10" s="4"/>
      <c r="V10" s="2"/>
      <c r="W10" s="82"/>
      <c r="X10" s="2"/>
      <c r="Y10" s="2"/>
    </row>
    <row r="11" spans="1:25" ht="24.95" customHeight="1" x14ac:dyDescent="0.25">
      <c r="A11" s="1246"/>
      <c r="B11" s="12">
        <v>1200</v>
      </c>
      <c r="C11" s="13">
        <v>600</v>
      </c>
      <c r="D11" s="14">
        <v>110</v>
      </c>
      <c r="E11" s="107" t="s">
        <v>46</v>
      </c>
      <c r="F11" s="112">
        <v>175.43859649122808</v>
      </c>
      <c r="G11" s="112">
        <v>26.370640405728128</v>
      </c>
      <c r="H11" s="211" t="s">
        <v>201</v>
      </c>
      <c r="I11" s="197">
        <v>479.00160000000005</v>
      </c>
      <c r="J11" s="47">
        <v>3</v>
      </c>
      <c r="K11" s="181">
        <v>2.16</v>
      </c>
      <c r="L11" s="198">
        <v>0.23760000000000001</v>
      </c>
      <c r="M11" s="47">
        <v>28</v>
      </c>
      <c r="N11" s="182">
        <v>6.6528</v>
      </c>
      <c r="O11" s="192">
        <v>73.180800000000005</v>
      </c>
      <c r="P11" s="48"/>
      <c r="Q11" s="88">
        <f t="shared" si="0"/>
        <v>751.76639999999998</v>
      </c>
      <c r="R11" s="645">
        <v>3164</v>
      </c>
      <c r="S11" s="101">
        <f t="shared" si="1"/>
        <v>348.04</v>
      </c>
      <c r="T11" s="4"/>
      <c r="U11" s="4"/>
      <c r="V11" s="2"/>
      <c r="W11" s="82"/>
      <c r="X11" s="2"/>
      <c r="Y11" s="2"/>
    </row>
    <row r="12" spans="1:25" ht="24.95" customHeight="1" x14ac:dyDescent="0.25">
      <c r="A12" s="1246"/>
      <c r="B12" s="12">
        <v>1200</v>
      </c>
      <c r="C12" s="13">
        <v>600</v>
      </c>
      <c r="D12" s="14">
        <v>120</v>
      </c>
      <c r="E12" s="107" t="s">
        <v>46</v>
      </c>
      <c r="F12" s="112"/>
      <c r="G12" s="112">
        <v>0</v>
      </c>
      <c r="H12" s="211" t="s">
        <v>202</v>
      </c>
      <c r="I12" s="197">
        <v>447.89759999999995</v>
      </c>
      <c r="J12" s="47">
        <v>3</v>
      </c>
      <c r="K12" s="181">
        <v>2.16</v>
      </c>
      <c r="L12" s="198">
        <v>0.25919999999999999</v>
      </c>
      <c r="M12" s="47">
        <v>24</v>
      </c>
      <c r="N12" s="182">
        <v>6.2207999999999997</v>
      </c>
      <c r="O12" s="192">
        <v>68.428799999999995</v>
      </c>
      <c r="P12" s="48"/>
      <c r="Q12" s="88">
        <f t="shared" si="0"/>
        <v>807.4079999999999</v>
      </c>
      <c r="R12" s="645">
        <v>3115</v>
      </c>
      <c r="S12" s="101">
        <f t="shared" si="1"/>
        <v>373.8</v>
      </c>
      <c r="T12" s="4"/>
      <c r="U12" s="4"/>
      <c r="V12" s="2"/>
      <c r="W12" s="82"/>
      <c r="X12" s="2"/>
      <c r="Y12" s="2"/>
    </row>
    <row r="13" spans="1:25" ht="24.95" customHeight="1" x14ac:dyDescent="0.25">
      <c r="A13" s="1246"/>
      <c r="B13" s="12">
        <v>1200</v>
      </c>
      <c r="C13" s="13">
        <v>600</v>
      </c>
      <c r="D13" s="14">
        <v>130</v>
      </c>
      <c r="E13" s="107" t="s">
        <v>46</v>
      </c>
      <c r="F13" s="112">
        <v>181.81818181818181</v>
      </c>
      <c r="G13" s="112">
        <v>26.97919364586031</v>
      </c>
      <c r="H13" s="211" t="s">
        <v>203</v>
      </c>
      <c r="I13" s="197">
        <v>485.22239999999999</v>
      </c>
      <c r="J13" s="47">
        <v>3</v>
      </c>
      <c r="K13" s="181">
        <v>2.16</v>
      </c>
      <c r="L13" s="198">
        <v>0.28079999999999999</v>
      </c>
      <c r="M13" s="47">
        <v>24</v>
      </c>
      <c r="N13" s="182">
        <v>6.7392000000000003</v>
      </c>
      <c r="O13" s="192">
        <v>74.131200000000007</v>
      </c>
      <c r="P13" s="48"/>
      <c r="Q13" s="88">
        <f t="shared" si="0"/>
        <v>862.33679999999993</v>
      </c>
      <c r="R13" s="645">
        <v>3071</v>
      </c>
      <c r="S13" s="101">
        <f t="shared" si="1"/>
        <v>399.23</v>
      </c>
      <c r="T13" s="4"/>
      <c r="U13" s="4"/>
      <c r="V13" s="2"/>
      <c r="W13" s="82"/>
      <c r="X13" s="2"/>
      <c r="Y13" s="2"/>
    </row>
    <row r="14" spans="1:25" ht="24.95" customHeight="1" x14ac:dyDescent="0.25">
      <c r="A14" s="1246"/>
      <c r="B14" s="12">
        <v>1200</v>
      </c>
      <c r="C14" s="13">
        <v>600</v>
      </c>
      <c r="D14" s="14">
        <v>140</v>
      </c>
      <c r="E14" s="107" t="s">
        <v>46</v>
      </c>
      <c r="F14" s="112">
        <v>181.81818181818181</v>
      </c>
      <c r="G14" s="112">
        <v>28.183621933621932</v>
      </c>
      <c r="H14" s="211" t="s">
        <v>204</v>
      </c>
      <c r="I14" s="197">
        <v>522.54719999999998</v>
      </c>
      <c r="J14" s="47">
        <v>2</v>
      </c>
      <c r="K14" s="181">
        <v>1.4400000000000002</v>
      </c>
      <c r="L14" s="198">
        <v>0.2016</v>
      </c>
      <c r="M14" s="47">
        <v>32</v>
      </c>
      <c r="N14" s="182">
        <v>6.4512</v>
      </c>
      <c r="O14" s="192">
        <v>70.963200000000001</v>
      </c>
      <c r="P14" s="48"/>
      <c r="Q14" s="88">
        <f t="shared" si="0"/>
        <v>611.85599999999999</v>
      </c>
      <c r="R14" s="645">
        <v>3035</v>
      </c>
      <c r="S14" s="101">
        <f t="shared" si="1"/>
        <v>424.9</v>
      </c>
      <c r="T14" s="4"/>
      <c r="U14" s="4"/>
      <c r="V14" s="2"/>
      <c r="W14" s="82"/>
      <c r="X14" s="2"/>
      <c r="Y14" s="2"/>
    </row>
    <row r="15" spans="1:25" ht="24.95" customHeight="1" x14ac:dyDescent="0.25">
      <c r="A15" s="1246"/>
      <c r="B15" s="12">
        <v>1200</v>
      </c>
      <c r="C15" s="13">
        <v>600</v>
      </c>
      <c r="D15" s="14">
        <v>150</v>
      </c>
      <c r="E15" s="107" t="s">
        <v>46</v>
      </c>
      <c r="F15" s="112">
        <v>185.18518518518519</v>
      </c>
      <c r="G15" s="112">
        <v>26.791838134430726</v>
      </c>
      <c r="H15" s="211" t="s">
        <v>205</v>
      </c>
      <c r="I15" s="197">
        <v>559.87199999999996</v>
      </c>
      <c r="J15" s="47">
        <v>2</v>
      </c>
      <c r="K15" s="181">
        <v>1.4400000000000002</v>
      </c>
      <c r="L15" s="198">
        <v>0.216</v>
      </c>
      <c r="M15" s="47">
        <v>32</v>
      </c>
      <c r="N15" s="182">
        <v>6.9119999999999999</v>
      </c>
      <c r="O15" s="192">
        <v>76.031999999999996</v>
      </c>
      <c r="P15" s="48"/>
      <c r="Q15" s="88">
        <f t="shared" si="0"/>
        <v>648.43200000000002</v>
      </c>
      <c r="R15" s="645">
        <v>3002</v>
      </c>
      <c r="S15" s="101">
        <f t="shared" si="1"/>
        <v>450.3</v>
      </c>
      <c r="T15" s="4"/>
      <c r="U15" s="4"/>
      <c r="V15" s="2"/>
      <c r="W15" s="82"/>
      <c r="X15" s="2"/>
      <c r="Y15" s="2"/>
    </row>
    <row r="16" spans="1:25" ht="24.95" customHeight="1" x14ac:dyDescent="0.25">
      <c r="A16" s="1246"/>
      <c r="B16" s="12">
        <v>1200</v>
      </c>
      <c r="C16" s="13">
        <v>600</v>
      </c>
      <c r="D16" s="14">
        <v>160</v>
      </c>
      <c r="E16" s="107" t="s">
        <v>46</v>
      </c>
      <c r="F16" s="112">
        <v>188.67924528301887</v>
      </c>
      <c r="G16" s="112">
        <v>29.247154836777479</v>
      </c>
      <c r="H16" s="211" t="s">
        <v>206</v>
      </c>
      <c r="I16" s="197">
        <v>522.54719999999998</v>
      </c>
      <c r="J16" s="47">
        <v>2</v>
      </c>
      <c r="K16" s="181">
        <v>1.44</v>
      </c>
      <c r="L16" s="198">
        <v>0.23039999999999999</v>
      </c>
      <c r="M16" s="47">
        <v>28</v>
      </c>
      <c r="N16" s="182">
        <v>6.4512</v>
      </c>
      <c r="O16" s="192">
        <v>70.963200000000001</v>
      </c>
      <c r="P16" s="48"/>
      <c r="Q16" s="88">
        <f t="shared" si="0"/>
        <v>685.43999999999994</v>
      </c>
      <c r="R16" s="645">
        <v>2975</v>
      </c>
      <c r="S16" s="101">
        <f t="shared" si="1"/>
        <v>476</v>
      </c>
      <c r="T16" s="4"/>
      <c r="U16" s="4"/>
      <c r="V16" s="2"/>
      <c r="W16" s="82"/>
      <c r="X16" s="2"/>
      <c r="Y16" s="2"/>
    </row>
    <row r="17" spans="1:25" ht="24.95" customHeight="1" x14ac:dyDescent="0.25">
      <c r="A17" s="1246"/>
      <c r="B17" s="12">
        <v>1200</v>
      </c>
      <c r="C17" s="13">
        <v>600</v>
      </c>
      <c r="D17" s="14">
        <v>170</v>
      </c>
      <c r="E17" s="107" t="s">
        <v>46</v>
      </c>
      <c r="F17" s="112">
        <v>188.67924528301887</v>
      </c>
      <c r="G17" s="112">
        <v>27.526733964025862</v>
      </c>
      <c r="H17" s="211" t="s">
        <v>270</v>
      </c>
      <c r="I17" s="197">
        <v>555.20640000000003</v>
      </c>
      <c r="J17" s="47">
        <v>2</v>
      </c>
      <c r="K17" s="181">
        <v>1.44</v>
      </c>
      <c r="L17" s="198">
        <v>0.24479999999999999</v>
      </c>
      <c r="M17" s="47">
        <v>28</v>
      </c>
      <c r="N17" s="182">
        <v>6.8544</v>
      </c>
      <c r="O17" s="192">
        <v>75.398399999999995</v>
      </c>
      <c r="P17" s="48"/>
      <c r="Q17" s="88">
        <f t="shared" si="0"/>
        <v>722.40480000000002</v>
      </c>
      <c r="R17" s="645">
        <v>2951</v>
      </c>
      <c r="S17" s="101">
        <f t="shared" si="1"/>
        <v>501.67</v>
      </c>
      <c r="T17" s="4"/>
      <c r="U17" s="4"/>
      <c r="V17" s="2"/>
      <c r="W17" s="82"/>
      <c r="X17" s="2"/>
      <c r="Y17" s="2"/>
    </row>
    <row r="18" spans="1:25" ht="24.95" customHeight="1" x14ac:dyDescent="0.25">
      <c r="A18" s="1246"/>
      <c r="B18" s="12">
        <v>1200</v>
      </c>
      <c r="C18" s="13">
        <v>600</v>
      </c>
      <c r="D18" s="14">
        <v>180</v>
      </c>
      <c r="E18" s="107" t="s">
        <v>46</v>
      </c>
      <c r="F18" s="112">
        <v>188.67924528301887</v>
      </c>
      <c r="G18" s="112">
        <v>30.330382793695165</v>
      </c>
      <c r="H18" s="211" t="s">
        <v>207</v>
      </c>
      <c r="I18" s="197">
        <v>503.88480000000004</v>
      </c>
      <c r="J18" s="47">
        <v>2</v>
      </c>
      <c r="K18" s="181">
        <v>1.44</v>
      </c>
      <c r="L18" s="198">
        <v>0.25919999999999999</v>
      </c>
      <c r="M18" s="47">
        <v>24</v>
      </c>
      <c r="N18" s="182">
        <v>6.2207999999999997</v>
      </c>
      <c r="O18" s="192">
        <v>68.428799999999995</v>
      </c>
      <c r="P18" s="48"/>
      <c r="Q18" s="88">
        <f t="shared" si="0"/>
        <v>759.19679999999994</v>
      </c>
      <c r="R18" s="645">
        <v>2929</v>
      </c>
      <c r="S18" s="101">
        <f t="shared" si="1"/>
        <v>527.22</v>
      </c>
      <c r="T18" s="4"/>
      <c r="U18" s="4"/>
      <c r="V18" s="2"/>
      <c r="W18" s="82"/>
      <c r="X18" s="2"/>
      <c r="Y18" s="2"/>
    </row>
    <row r="19" spans="1:25" ht="24.95" customHeight="1" x14ac:dyDescent="0.25">
      <c r="A19" s="1246"/>
      <c r="B19" s="12">
        <v>1200</v>
      </c>
      <c r="C19" s="13">
        <v>600</v>
      </c>
      <c r="D19" s="14">
        <v>190</v>
      </c>
      <c r="E19" s="107" t="s">
        <v>46</v>
      </c>
      <c r="F19" s="112">
        <v>192.30769230769232</v>
      </c>
      <c r="G19" s="112">
        <v>29.286624681361527</v>
      </c>
      <c r="H19" s="211" t="s">
        <v>271</v>
      </c>
      <c r="I19" s="197">
        <v>531.87840000000006</v>
      </c>
      <c r="J19" s="47">
        <v>2</v>
      </c>
      <c r="K19" s="181">
        <v>1.4400000000000002</v>
      </c>
      <c r="L19" s="198">
        <v>0.27360000000000001</v>
      </c>
      <c r="M19" s="47">
        <v>24</v>
      </c>
      <c r="N19" s="182">
        <v>6.5663999999999998</v>
      </c>
      <c r="O19" s="192">
        <v>72.230400000000003</v>
      </c>
      <c r="P19" s="48"/>
      <c r="Q19" s="88">
        <f t="shared" si="0"/>
        <v>796.44960000000003</v>
      </c>
      <c r="R19" s="645">
        <v>2911</v>
      </c>
      <c r="S19" s="101">
        <f t="shared" si="1"/>
        <v>553.09</v>
      </c>
      <c r="T19" s="4"/>
      <c r="U19" s="4"/>
      <c r="V19" s="2"/>
      <c r="W19" s="82"/>
      <c r="X19" s="2"/>
      <c r="Y19" s="2"/>
    </row>
    <row r="20" spans="1:25" ht="24.95" customHeight="1" thickBot="1" x14ac:dyDescent="0.3">
      <c r="A20" s="1247"/>
      <c r="B20" s="15">
        <v>1200</v>
      </c>
      <c r="C20" s="16">
        <v>600</v>
      </c>
      <c r="D20" s="17">
        <v>200</v>
      </c>
      <c r="E20" s="107" t="s">
        <v>46</v>
      </c>
      <c r="F20" s="63">
        <v>192.30769230769232</v>
      </c>
      <c r="G20" s="108">
        <v>20.866720085470089</v>
      </c>
      <c r="H20" s="215" t="s">
        <v>208</v>
      </c>
      <c r="I20" s="446">
        <v>746.49599999999998</v>
      </c>
      <c r="J20" s="49">
        <v>2</v>
      </c>
      <c r="K20" s="183">
        <v>1.44</v>
      </c>
      <c r="L20" s="184">
        <v>0.28799999999999998</v>
      </c>
      <c r="M20" s="49">
        <v>32</v>
      </c>
      <c r="N20" s="184">
        <v>9.2159999999999993</v>
      </c>
      <c r="O20" s="195">
        <v>101.37599999999999</v>
      </c>
      <c r="P20" s="50"/>
      <c r="Q20" s="479">
        <f t="shared" si="0"/>
        <v>832.60799999999995</v>
      </c>
      <c r="R20" s="648">
        <v>2891</v>
      </c>
      <c r="S20" s="102">
        <f t="shared" si="1"/>
        <v>578.20000000000005</v>
      </c>
      <c r="T20" s="4"/>
      <c r="U20" s="4"/>
      <c r="V20" s="2"/>
      <c r="W20" s="82"/>
      <c r="X20" s="2"/>
      <c r="Y20" s="2"/>
    </row>
    <row r="21" spans="1:25" ht="22.5" customHeight="1" x14ac:dyDescent="0.25">
      <c r="A21" s="35" t="s">
        <v>34</v>
      </c>
      <c r="B21" s="9">
        <v>1200</v>
      </c>
      <c r="C21" s="10">
        <v>600</v>
      </c>
      <c r="D21" s="11">
        <v>80</v>
      </c>
      <c r="E21" s="107" t="s">
        <v>46</v>
      </c>
      <c r="F21" s="113">
        <v>78.740157480314963</v>
      </c>
      <c r="G21" s="112">
        <v>11.391805191017788</v>
      </c>
      <c r="H21" s="211" t="s">
        <v>209</v>
      </c>
      <c r="I21" s="199">
        <v>248.83200000000005</v>
      </c>
      <c r="J21" s="45">
        <v>3</v>
      </c>
      <c r="K21" s="185">
        <v>2.16</v>
      </c>
      <c r="L21" s="180">
        <v>0.17280000000000001</v>
      </c>
      <c r="M21" s="96">
        <v>40</v>
      </c>
      <c r="N21" s="180">
        <v>6.9120000000000008</v>
      </c>
      <c r="O21" s="191">
        <v>76.032000000000011</v>
      </c>
      <c r="P21" s="46"/>
      <c r="Q21" s="88">
        <f t="shared" si="0"/>
        <v>1138.9248</v>
      </c>
      <c r="R21" s="645">
        <v>6591</v>
      </c>
      <c r="S21" s="101">
        <f t="shared" si="1"/>
        <v>527.28</v>
      </c>
      <c r="T21" s="4"/>
      <c r="U21" s="4"/>
      <c r="V21" s="2"/>
      <c r="W21" s="82"/>
      <c r="X21" s="2"/>
    </row>
    <row r="22" spans="1:25" ht="22.5" customHeight="1" x14ac:dyDescent="0.25">
      <c r="A22" s="1246" t="s">
        <v>30</v>
      </c>
      <c r="B22" s="12">
        <v>1200</v>
      </c>
      <c r="C22" s="13">
        <v>600</v>
      </c>
      <c r="D22" s="14">
        <v>90</v>
      </c>
      <c r="E22" s="107" t="s">
        <v>46</v>
      </c>
      <c r="F22" s="113">
        <v>81.300813008130078</v>
      </c>
      <c r="G22" s="112">
        <v>13.069189333868648</v>
      </c>
      <c r="H22" s="211" t="s">
        <v>210</v>
      </c>
      <c r="I22" s="199">
        <v>223.94879999999998</v>
      </c>
      <c r="J22" s="95">
        <v>3</v>
      </c>
      <c r="K22" s="181">
        <v>2.16</v>
      </c>
      <c r="L22" s="182">
        <v>0.19439999999999999</v>
      </c>
      <c r="M22" s="95">
        <v>32</v>
      </c>
      <c r="N22" s="182">
        <v>6.2207999999999997</v>
      </c>
      <c r="O22" s="192">
        <v>68.428799999999995</v>
      </c>
      <c r="P22" s="48"/>
      <c r="Q22" s="88">
        <f t="shared" si="0"/>
        <v>1247.2703999999999</v>
      </c>
      <c r="R22" s="645">
        <v>6416</v>
      </c>
      <c r="S22" s="101">
        <f t="shared" si="1"/>
        <v>577.44000000000005</v>
      </c>
      <c r="T22" s="4"/>
      <c r="U22" s="4"/>
      <c r="V22" s="2"/>
      <c r="W22" s="82"/>
      <c r="X22" s="2"/>
    </row>
    <row r="23" spans="1:25" ht="22.5" customHeight="1" x14ac:dyDescent="0.25">
      <c r="A23" s="1246"/>
      <c r="B23" s="12">
        <v>1200</v>
      </c>
      <c r="C23" s="13">
        <v>600</v>
      </c>
      <c r="D23" s="14">
        <v>100</v>
      </c>
      <c r="E23" s="107" t="s">
        <v>46</v>
      </c>
      <c r="F23" s="113"/>
      <c r="G23" s="112">
        <v>0</v>
      </c>
      <c r="H23" s="211" t="s">
        <v>211</v>
      </c>
      <c r="I23" s="199">
        <v>248.83199999999997</v>
      </c>
      <c r="J23" s="96">
        <v>2</v>
      </c>
      <c r="K23" s="185">
        <v>1.44</v>
      </c>
      <c r="L23" s="186">
        <v>0.14399999999999999</v>
      </c>
      <c r="M23" s="96">
        <v>48</v>
      </c>
      <c r="N23" s="190">
        <v>6.911999999999999</v>
      </c>
      <c r="O23" s="191">
        <v>76.031999999999982</v>
      </c>
      <c r="P23" s="55"/>
      <c r="Q23" s="88">
        <f t="shared" si="0"/>
        <v>903.88799999999992</v>
      </c>
      <c r="R23" s="645">
        <v>6277</v>
      </c>
      <c r="S23" s="101">
        <f t="shared" si="1"/>
        <v>627.70000000000005</v>
      </c>
      <c r="T23" s="4"/>
      <c r="U23" s="4"/>
      <c r="V23" s="2"/>
      <c r="X23" s="2"/>
    </row>
    <row r="24" spans="1:25" ht="22.5" customHeight="1" x14ac:dyDescent="0.25">
      <c r="A24" s="1246"/>
      <c r="B24" s="12">
        <v>1200</v>
      </c>
      <c r="C24" s="13">
        <v>600</v>
      </c>
      <c r="D24" s="14">
        <v>110</v>
      </c>
      <c r="E24" s="107" t="s">
        <v>46</v>
      </c>
      <c r="F24" s="113">
        <v>84.745762711864401</v>
      </c>
      <c r="G24" s="112">
        <v>13.375278205786678</v>
      </c>
      <c r="H24" s="211" t="s">
        <v>212</v>
      </c>
      <c r="I24" s="199">
        <v>266.11200000000002</v>
      </c>
      <c r="J24" s="95">
        <v>2</v>
      </c>
      <c r="K24" s="181">
        <v>1.4400000000000002</v>
      </c>
      <c r="L24" s="187">
        <v>0.15840000000000001</v>
      </c>
      <c r="M24" s="47">
        <v>40</v>
      </c>
      <c r="N24" s="182">
        <v>6.3360000000000003</v>
      </c>
      <c r="O24" s="192">
        <v>69.695999999999998</v>
      </c>
      <c r="P24" s="48"/>
      <c r="Q24" s="88">
        <f t="shared" si="0"/>
        <v>976.21920000000011</v>
      </c>
      <c r="R24" s="645">
        <v>6163</v>
      </c>
      <c r="S24" s="101">
        <f t="shared" si="1"/>
        <v>677.93</v>
      </c>
      <c r="T24" s="4"/>
      <c r="U24" s="4"/>
      <c r="V24" s="2"/>
      <c r="W24" s="82"/>
      <c r="X24" s="2"/>
    </row>
    <row r="25" spans="1:25" ht="22.5" customHeight="1" x14ac:dyDescent="0.25">
      <c r="A25" s="1246"/>
      <c r="B25" s="12">
        <v>1200</v>
      </c>
      <c r="C25" s="13">
        <v>600</v>
      </c>
      <c r="D25" s="14">
        <v>120</v>
      </c>
      <c r="E25" s="107" t="s">
        <v>46</v>
      </c>
      <c r="F25" s="112"/>
      <c r="G25" s="112">
        <v>0</v>
      </c>
      <c r="H25" s="211" t="s">
        <v>213</v>
      </c>
      <c r="I25" s="199">
        <v>290.30400000000003</v>
      </c>
      <c r="J25" s="47">
        <v>2</v>
      </c>
      <c r="K25" s="181">
        <v>1.4400000000000002</v>
      </c>
      <c r="L25" s="182">
        <v>0.17280000000000001</v>
      </c>
      <c r="M25" s="47">
        <v>40</v>
      </c>
      <c r="N25" s="182">
        <v>6.9120000000000008</v>
      </c>
      <c r="O25" s="192">
        <v>76.032000000000011</v>
      </c>
      <c r="P25" s="48"/>
      <c r="Q25" s="88">
        <f t="shared" si="0"/>
        <v>1048.3776</v>
      </c>
      <c r="R25" s="645">
        <v>6067</v>
      </c>
      <c r="S25" s="101">
        <f t="shared" si="1"/>
        <v>728.04</v>
      </c>
      <c r="T25" s="4"/>
      <c r="U25" s="4"/>
      <c r="V25" s="2"/>
      <c r="X25" s="2"/>
    </row>
    <row r="26" spans="1:25" ht="22.5" customHeight="1" x14ac:dyDescent="0.25">
      <c r="A26" s="1246"/>
      <c r="B26" s="12">
        <v>1200</v>
      </c>
      <c r="C26" s="13">
        <v>600</v>
      </c>
      <c r="D26" s="14">
        <v>130</v>
      </c>
      <c r="E26" s="107" t="s">
        <v>46</v>
      </c>
      <c r="F26" s="112">
        <v>86.956521739130437</v>
      </c>
      <c r="G26" s="112">
        <v>12.90309261323754</v>
      </c>
      <c r="H26" s="211" t="s">
        <v>214</v>
      </c>
      <c r="I26" s="199">
        <v>283.04640000000006</v>
      </c>
      <c r="J26" s="47">
        <v>2</v>
      </c>
      <c r="K26" s="181">
        <v>1.4400000000000002</v>
      </c>
      <c r="L26" s="182">
        <v>0.18720000000000001</v>
      </c>
      <c r="M26" s="47">
        <v>36</v>
      </c>
      <c r="N26" s="182">
        <v>6.7392000000000003</v>
      </c>
      <c r="O26" s="192">
        <v>74.131200000000007</v>
      </c>
      <c r="P26" s="48"/>
      <c r="Q26" s="88">
        <f t="shared" si="0"/>
        <v>1121.5152</v>
      </c>
      <c r="R26" s="645">
        <v>5991</v>
      </c>
      <c r="S26" s="101">
        <f t="shared" si="1"/>
        <v>778.83</v>
      </c>
      <c r="T26" s="4"/>
      <c r="U26" s="4"/>
      <c r="V26" s="2"/>
      <c r="W26" s="82"/>
      <c r="X26" s="2"/>
    </row>
    <row r="27" spans="1:25" ht="22.5" customHeight="1" x14ac:dyDescent="0.25">
      <c r="A27" s="1246"/>
      <c r="B27" s="12">
        <v>1200</v>
      </c>
      <c r="C27" s="13">
        <v>600</v>
      </c>
      <c r="D27" s="14">
        <v>140</v>
      </c>
      <c r="E27" s="107" t="s">
        <v>46</v>
      </c>
      <c r="F27" s="112">
        <v>88.495575221238937</v>
      </c>
      <c r="G27" s="112">
        <v>13.717692091585898</v>
      </c>
      <c r="H27" s="211" t="s">
        <v>215</v>
      </c>
      <c r="I27" s="199">
        <v>270.9504</v>
      </c>
      <c r="J27" s="47">
        <v>2</v>
      </c>
      <c r="K27" s="181">
        <v>1.4400000000000002</v>
      </c>
      <c r="L27" s="182">
        <v>0.2016</v>
      </c>
      <c r="M27" s="47">
        <v>32</v>
      </c>
      <c r="N27" s="182">
        <v>6.4512</v>
      </c>
      <c r="O27" s="192">
        <v>70.963200000000001</v>
      </c>
      <c r="P27" s="48"/>
      <c r="Q27" s="88">
        <f t="shared" si="0"/>
        <v>1192.8671999999999</v>
      </c>
      <c r="R27" s="645">
        <v>5917</v>
      </c>
      <c r="S27" s="101">
        <f t="shared" si="1"/>
        <v>828.38</v>
      </c>
      <c r="T27" s="4"/>
      <c r="U27" s="4"/>
      <c r="V27" s="2"/>
      <c r="W27" s="82"/>
      <c r="X27" s="2"/>
    </row>
    <row r="28" spans="1:25" ht="22.5" customHeight="1" x14ac:dyDescent="0.25">
      <c r="A28" s="1246"/>
      <c r="B28" s="12">
        <v>1200</v>
      </c>
      <c r="C28" s="13">
        <v>600</v>
      </c>
      <c r="D28" s="14">
        <v>150</v>
      </c>
      <c r="E28" s="107" t="s">
        <v>46</v>
      </c>
      <c r="F28" s="112">
        <v>89.285714285714292</v>
      </c>
      <c r="G28" s="112">
        <v>12.917493386243388</v>
      </c>
      <c r="H28" s="211" t="s">
        <v>216</v>
      </c>
      <c r="I28" s="199">
        <v>290.30399999999997</v>
      </c>
      <c r="J28" s="47">
        <v>2</v>
      </c>
      <c r="K28" s="181">
        <v>1.4400000000000002</v>
      </c>
      <c r="L28" s="182">
        <v>0.216</v>
      </c>
      <c r="M28" s="47">
        <v>32</v>
      </c>
      <c r="N28" s="182">
        <v>6.9119999999999999</v>
      </c>
      <c r="O28" s="192">
        <v>76.031999999999996</v>
      </c>
      <c r="P28" s="48"/>
      <c r="Q28" s="88">
        <f t="shared" si="0"/>
        <v>1265.5440000000001</v>
      </c>
      <c r="R28" s="645">
        <v>5859</v>
      </c>
      <c r="S28" s="101">
        <f t="shared" si="1"/>
        <v>878.85</v>
      </c>
      <c r="T28" s="4"/>
      <c r="U28" s="4"/>
      <c r="V28" s="2"/>
      <c r="X28" s="2"/>
    </row>
    <row r="29" spans="1:25" ht="22.5" customHeight="1" x14ac:dyDescent="0.25">
      <c r="A29" s="1246"/>
      <c r="B29" s="12">
        <v>1200</v>
      </c>
      <c r="C29" s="13">
        <v>600</v>
      </c>
      <c r="D29" s="14">
        <v>160</v>
      </c>
      <c r="E29" s="107" t="s">
        <v>46</v>
      </c>
      <c r="F29" s="112">
        <v>90.090090090090087</v>
      </c>
      <c r="G29" s="112">
        <v>13.964857714857715</v>
      </c>
      <c r="H29" s="211" t="s">
        <v>272</v>
      </c>
      <c r="I29" s="199">
        <v>270.9504</v>
      </c>
      <c r="J29" s="47">
        <v>2</v>
      </c>
      <c r="K29" s="181">
        <v>1.44</v>
      </c>
      <c r="L29" s="182">
        <v>0.23039999999999999</v>
      </c>
      <c r="M29" s="47">
        <v>28</v>
      </c>
      <c r="N29" s="182">
        <v>6.4512</v>
      </c>
      <c r="O29" s="192">
        <v>70.963200000000001</v>
      </c>
      <c r="P29" s="48"/>
      <c r="Q29" s="88">
        <f t="shared" si="0"/>
        <v>1337.7023999999999</v>
      </c>
      <c r="R29" s="645">
        <v>5806</v>
      </c>
      <c r="S29" s="101">
        <f t="shared" si="1"/>
        <v>928.96</v>
      </c>
      <c r="T29" s="4"/>
      <c r="U29" s="4"/>
      <c r="V29" s="2"/>
      <c r="W29" s="82"/>
      <c r="X29" s="2"/>
    </row>
    <row r="30" spans="1:25" ht="22.5" customHeight="1" x14ac:dyDescent="0.25">
      <c r="A30" s="1246"/>
      <c r="B30" s="12">
        <v>1200</v>
      </c>
      <c r="C30" s="13">
        <v>600</v>
      </c>
      <c r="D30" s="14">
        <v>170</v>
      </c>
      <c r="E30" s="107" t="s">
        <v>46</v>
      </c>
      <c r="F30" s="112">
        <v>90.909090909090907</v>
      </c>
      <c r="G30" s="112">
        <v>13.262880909939733</v>
      </c>
      <c r="H30" s="211" t="s">
        <v>273</v>
      </c>
      <c r="I30" s="199">
        <v>287.88480000000004</v>
      </c>
      <c r="J30" s="47">
        <v>2</v>
      </c>
      <c r="K30" s="181">
        <v>1.44</v>
      </c>
      <c r="L30" s="182">
        <v>0.24479999999999999</v>
      </c>
      <c r="M30" s="47">
        <v>28</v>
      </c>
      <c r="N30" s="182">
        <v>6.8544</v>
      </c>
      <c r="O30" s="192">
        <v>75.398399999999995</v>
      </c>
      <c r="P30" s="48"/>
      <c r="Q30" s="88">
        <f t="shared" si="0"/>
        <v>1410.048</v>
      </c>
      <c r="R30" s="645">
        <v>5760</v>
      </c>
      <c r="S30" s="101">
        <f t="shared" si="1"/>
        <v>979.2</v>
      </c>
      <c r="T30" s="4"/>
      <c r="U30" s="4"/>
      <c r="V30" s="2"/>
      <c r="W30" s="82"/>
      <c r="X30" s="2"/>
    </row>
    <row r="31" spans="1:25" ht="22.5" customHeight="1" x14ac:dyDescent="0.25">
      <c r="A31" s="1246"/>
      <c r="B31" s="12">
        <v>1200</v>
      </c>
      <c r="C31" s="13">
        <v>600</v>
      </c>
      <c r="D31" s="14">
        <v>180</v>
      </c>
      <c r="E31" s="107" t="s">
        <v>46</v>
      </c>
      <c r="F31" s="112">
        <v>91.743119266055047</v>
      </c>
      <c r="G31" s="112">
        <v>14.74780080794352</v>
      </c>
      <c r="H31" s="211" t="s">
        <v>217</v>
      </c>
      <c r="I31" s="199">
        <v>261.27359999999999</v>
      </c>
      <c r="J31" s="47">
        <v>2</v>
      </c>
      <c r="K31" s="181">
        <v>1.44</v>
      </c>
      <c r="L31" s="182">
        <v>0.25919999999999999</v>
      </c>
      <c r="M31" s="47">
        <v>24</v>
      </c>
      <c r="N31" s="182">
        <v>6.2207999999999997</v>
      </c>
      <c r="O31" s="192">
        <v>68.428799999999995</v>
      </c>
      <c r="P31" s="48"/>
      <c r="Q31" s="88">
        <f t="shared" si="0"/>
        <v>1482.3647999999998</v>
      </c>
      <c r="R31" s="645">
        <v>5719</v>
      </c>
      <c r="S31" s="101">
        <f t="shared" si="1"/>
        <v>1029.42</v>
      </c>
      <c r="T31" s="4"/>
      <c r="U31" s="4"/>
      <c r="V31" s="2"/>
      <c r="W31" s="82"/>
      <c r="X31" s="2"/>
    </row>
    <row r="32" spans="1:25" ht="22.5" customHeight="1" x14ac:dyDescent="0.25">
      <c r="A32" s="1246"/>
      <c r="B32" s="12">
        <v>1200</v>
      </c>
      <c r="C32" s="13">
        <v>600</v>
      </c>
      <c r="D32" s="14">
        <v>190</v>
      </c>
      <c r="E32" s="107" t="s">
        <v>46</v>
      </c>
      <c r="F32" s="112">
        <v>92.592592592592595</v>
      </c>
      <c r="G32" s="112">
        <v>14.100967439174068</v>
      </c>
      <c r="H32" s="211" t="s">
        <v>274</v>
      </c>
      <c r="I32" s="199">
        <v>275.78879999999998</v>
      </c>
      <c r="J32" s="47">
        <v>2</v>
      </c>
      <c r="K32" s="181">
        <v>1.4400000000000002</v>
      </c>
      <c r="L32" s="182">
        <v>0.27360000000000001</v>
      </c>
      <c r="M32" s="47">
        <v>24</v>
      </c>
      <c r="N32" s="182">
        <v>6.5663999999999998</v>
      </c>
      <c r="O32" s="192">
        <v>72.230400000000003</v>
      </c>
      <c r="P32" s="48"/>
      <c r="Q32" s="88">
        <f t="shared" si="0"/>
        <v>1554.5952</v>
      </c>
      <c r="R32" s="645">
        <v>5682</v>
      </c>
      <c r="S32" s="101">
        <f t="shared" si="1"/>
        <v>1079.58</v>
      </c>
      <c r="T32" s="4"/>
      <c r="U32" s="4"/>
      <c r="V32" s="2"/>
      <c r="W32" s="82"/>
      <c r="X32" s="2"/>
    </row>
    <row r="33" spans="1:25" ht="22.5" customHeight="1" thickBot="1" x14ac:dyDescent="0.3">
      <c r="A33" s="1247"/>
      <c r="B33" s="15">
        <v>1200</v>
      </c>
      <c r="C33" s="16">
        <v>600</v>
      </c>
      <c r="D33" s="17">
        <v>200</v>
      </c>
      <c r="E33" s="107" t="s">
        <v>46</v>
      </c>
      <c r="F33" s="63">
        <v>92.592592592592595</v>
      </c>
      <c r="G33" s="112">
        <v>13.395919067215365</v>
      </c>
      <c r="H33" s="212" t="s">
        <v>218</v>
      </c>
      <c r="I33" s="446">
        <v>290.30399999999997</v>
      </c>
      <c r="J33" s="49">
        <v>1</v>
      </c>
      <c r="K33" s="183">
        <v>0.72</v>
      </c>
      <c r="L33" s="184">
        <v>0.14399999999999999</v>
      </c>
      <c r="M33" s="49">
        <v>48</v>
      </c>
      <c r="N33" s="184">
        <v>6.911999999999999</v>
      </c>
      <c r="O33" s="193">
        <v>76.031999999999982</v>
      </c>
      <c r="P33" s="50"/>
      <c r="Q33" s="479">
        <f t="shared" si="0"/>
        <v>813.3119999999999</v>
      </c>
      <c r="R33" s="648">
        <v>5648</v>
      </c>
      <c r="S33" s="102">
        <f t="shared" si="1"/>
        <v>1129.5999999999999</v>
      </c>
      <c r="T33" s="4"/>
      <c r="U33" s="4"/>
      <c r="V33" s="2"/>
      <c r="W33" s="82"/>
      <c r="X33" s="2"/>
    </row>
    <row r="34" spans="1:25" ht="22.5" customHeight="1" x14ac:dyDescent="0.25">
      <c r="A34" s="35" t="s">
        <v>35</v>
      </c>
      <c r="B34" s="12">
        <v>1200</v>
      </c>
      <c r="C34" s="13">
        <v>600</v>
      </c>
      <c r="D34" s="14">
        <v>80</v>
      </c>
      <c r="E34" s="107" t="s">
        <v>46</v>
      </c>
      <c r="F34" s="112"/>
      <c r="G34" s="112">
        <v>0</v>
      </c>
      <c r="H34" s="213" t="s">
        <v>219</v>
      </c>
      <c r="I34" s="197">
        <v>269.56800000000004</v>
      </c>
      <c r="J34" s="45">
        <v>3</v>
      </c>
      <c r="K34" s="179">
        <v>2.16</v>
      </c>
      <c r="L34" s="200">
        <v>0.17280000000000001</v>
      </c>
      <c r="M34" s="45">
        <v>40</v>
      </c>
      <c r="N34" s="180">
        <v>6.9120000000000008</v>
      </c>
      <c r="O34" s="201">
        <v>76.032000000000011</v>
      </c>
      <c r="P34" s="46"/>
      <c r="Q34" s="88">
        <f t="shared" si="0"/>
        <v>1113.3504</v>
      </c>
      <c r="R34" s="645">
        <v>6443</v>
      </c>
      <c r="S34" s="101">
        <f t="shared" si="1"/>
        <v>515.44000000000005</v>
      </c>
      <c r="T34" s="4"/>
      <c r="U34" s="4"/>
      <c r="V34" s="2"/>
      <c r="W34" s="82"/>
      <c r="X34" s="2"/>
    </row>
    <row r="35" spans="1:25" ht="22.5" customHeight="1" x14ac:dyDescent="0.25">
      <c r="A35" s="1246" t="s">
        <v>32</v>
      </c>
      <c r="B35" s="12">
        <v>1200</v>
      </c>
      <c r="C35" s="13">
        <v>600</v>
      </c>
      <c r="D35" s="14">
        <v>90</v>
      </c>
      <c r="E35" s="107" t="s">
        <v>46</v>
      </c>
      <c r="F35" s="112">
        <v>75.187969924812023</v>
      </c>
      <c r="G35" s="112">
        <v>12.086543519292057</v>
      </c>
      <c r="H35" s="214" t="s">
        <v>275</v>
      </c>
      <c r="I35" s="197">
        <v>242.61119999999997</v>
      </c>
      <c r="J35" s="47">
        <v>3</v>
      </c>
      <c r="K35" s="181">
        <v>2.16</v>
      </c>
      <c r="L35" s="198">
        <v>0.19439999999999999</v>
      </c>
      <c r="M35" s="47">
        <v>32</v>
      </c>
      <c r="N35" s="182">
        <v>6.2207999999999997</v>
      </c>
      <c r="O35" s="192">
        <v>68.428799999999995</v>
      </c>
      <c r="P35" s="48"/>
      <c r="Q35" s="88">
        <f t="shared" si="0"/>
        <v>1227.0527999999999</v>
      </c>
      <c r="R35" s="645">
        <v>6312</v>
      </c>
      <c r="S35" s="101">
        <f t="shared" si="1"/>
        <v>568.08000000000004</v>
      </c>
      <c r="T35" s="4"/>
      <c r="U35" s="4"/>
      <c r="V35" s="2"/>
      <c r="W35" s="82"/>
      <c r="X35" s="2"/>
    </row>
    <row r="36" spans="1:25" ht="22.5" customHeight="1" x14ac:dyDescent="0.25">
      <c r="A36" s="1246"/>
      <c r="B36" s="12">
        <v>1200</v>
      </c>
      <c r="C36" s="13">
        <v>600</v>
      </c>
      <c r="D36" s="14">
        <v>100</v>
      </c>
      <c r="E36" s="107" t="s">
        <v>46</v>
      </c>
      <c r="F36" s="112">
        <v>76.335877862595424</v>
      </c>
      <c r="G36" s="112">
        <v>11.043963811139387</v>
      </c>
      <c r="H36" s="214" t="s">
        <v>221</v>
      </c>
      <c r="I36" s="197">
        <v>269.56799999999998</v>
      </c>
      <c r="J36" s="47">
        <v>2</v>
      </c>
      <c r="K36" s="181">
        <v>1.44</v>
      </c>
      <c r="L36" s="198">
        <v>0.14399999999999999</v>
      </c>
      <c r="M36" s="47">
        <v>48</v>
      </c>
      <c r="N36" s="182">
        <v>6.911999999999999</v>
      </c>
      <c r="O36" s="192">
        <v>76.031999999999982</v>
      </c>
      <c r="P36" s="48"/>
      <c r="Q36" s="88">
        <f t="shared" si="0"/>
        <v>893.95199999999988</v>
      </c>
      <c r="R36" s="645">
        <v>6208</v>
      </c>
      <c r="S36" s="101">
        <f t="shared" si="1"/>
        <v>620.79999999999995</v>
      </c>
      <c r="T36" s="4"/>
      <c r="U36" s="4"/>
      <c r="V36" s="2"/>
      <c r="W36" s="82"/>
      <c r="X36" s="2"/>
    </row>
    <row r="37" spans="1:25" ht="22.5" customHeight="1" x14ac:dyDescent="0.25">
      <c r="A37" s="1246"/>
      <c r="B37" s="12">
        <v>1200</v>
      </c>
      <c r="C37" s="13">
        <v>600</v>
      </c>
      <c r="D37" s="14">
        <v>110</v>
      </c>
      <c r="E37" s="107" t="s">
        <v>46</v>
      </c>
      <c r="F37" s="112">
        <v>77.519379844961236</v>
      </c>
      <c r="G37" s="112">
        <v>12.23475060684363</v>
      </c>
      <c r="H37" s="214" t="s">
        <v>220</v>
      </c>
      <c r="I37" s="197">
        <v>247.10400000000004</v>
      </c>
      <c r="J37" s="47">
        <v>2</v>
      </c>
      <c r="K37" s="181">
        <v>1.4400000000000002</v>
      </c>
      <c r="L37" s="198">
        <v>0.15840000000000001</v>
      </c>
      <c r="M37" s="47">
        <v>40</v>
      </c>
      <c r="N37" s="182">
        <v>6.3360000000000003</v>
      </c>
      <c r="O37" s="192">
        <v>69.695999999999998</v>
      </c>
      <c r="P37" s="48"/>
      <c r="Q37" s="88">
        <f t="shared" si="0"/>
        <v>969.8832000000001</v>
      </c>
      <c r="R37" s="645">
        <v>6123</v>
      </c>
      <c r="S37" s="101">
        <f t="shared" si="1"/>
        <v>673.53</v>
      </c>
      <c r="T37" s="4"/>
      <c r="U37" s="4"/>
      <c r="V37" s="2"/>
      <c r="W37" s="82"/>
      <c r="X37" s="2"/>
    </row>
    <row r="38" spans="1:25" ht="22.5" customHeight="1" x14ac:dyDescent="0.25">
      <c r="A38" s="1246"/>
      <c r="B38" s="12">
        <v>1200</v>
      </c>
      <c r="C38" s="13">
        <v>600</v>
      </c>
      <c r="D38" s="14">
        <v>120</v>
      </c>
      <c r="E38" s="107" t="s">
        <v>46</v>
      </c>
      <c r="F38" s="112">
        <v>78.125</v>
      </c>
      <c r="G38" s="112">
        <v>11.302806712962962</v>
      </c>
      <c r="H38" s="214" t="s">
        <v>222</v>
      </c>
      <c r="I38" s="197">
        <v>269.56800000000004</v>
      </c>
      <c r="J38" s="47">
        <v>2</v>
      </c>
      <c r="K38" s="181">
        <v>1.4400000000000002</v>
      </c>
      <c r="L38" s="198">
        <v>0.17280000000000001</v>
      </c>
      <c r="M38" s="47">
        <v>40</v>
      </c>
      <c r="N38" s="182">
        <v>6.9120000000000008</v>
      </c>
      <c r="O38" s="192">
        <v>76.032000000000011</v>
      </c>
      <c r="P38" s="48"/>
      <c r="Q38" s="88">
        <f t="shared" si="0"/>
        <v>1045.44</v>
      </c>
      <c r="R38" s="645">
        <v>6050</v>
      </c>
      <c r="S38" s="101">
        <f t="shared" si="1"/>
        <v>726</v>
      </c>
      <c r="T38" s="4"/>
      <c r="U38" s="4"/>
      <c r="V38" s="2"/>
      <c r="W38" s="82"/>
      <c r="X38" s="2"/>
    </row>
    <row r="39" spans="1:25" ht="22.5" customHeight="1" x14ac:dyDescent="0.25">
      <c r="A39" s="1246"/>
      <c r="B39" s="12">
        <v>1200</v>
      </c>
      <c r="C39" s="13">
        <v>600</v>
      </c>
      <c r="D39" s="14">
        <v>130</v>
      </c>
      <c r="E39" s="107" t="s">
        <v>46</v>
      </c>
      <c r="F39" s="112">
        <v>79.365079365079367</v>
      </c>
      <c r="G39" s="112">
        <v>11.776632147002518</v>
      </c>
      <c r="H39" s="216" t="s">
        <v>276</v>
      </c>
      <c r="I39" s="197">
        <v>262.8288</v>
      </c>
      <c r="J39" s="47">
        <v>2</v>
      </c>
      <c r="K39" s="181">
        <v>1.4400000000000002</v>
      </c>
      <c r="L39" s="198">
        <v>0.18720000000000001</v>
      </c>
      <c r="M39" s="47">
        <v>36</v>
      </c>
      <c r="N39" s="182">
        <v>6.7392000000000003</v>
      </c>
      <c r="O39" s="192">
        <v>74.131200000000007</v>
      </c>
      <c r="P39" s="48"/>
      <c r="Q39" s="88">
        <f t="shared" si="0"/>
        <v>1121.5152</v>
      </c>
      <c r="R39" s="645">
        <v>5991</v>
      </c>
      <c r="S39" s="101">
        <f t="shared" si="1"/>
        <v>778.83</v>
      </c>
      <c r="T39" s="4"/>
      <c r="U39" s="4"/>
      <c r="V39" s="2"/>
      <c r="W39" s="82"/>
      <c r="X39" s="2"/>
    </row>
    <row r="40" spans="1:25" ht="22.5" customHeight="1" x14ac:dyDescent="0.25">
      <c r="A40" s="1246"/>
      <c r="B40" s="12">
        <v>1200</v>
      </c>
      <c r="C40" s="13">
        <v>600</v>
      </c>
      <c r="D40" s="14">
        <v>140</v>
      </c>
      <c r="E40" s="107" t="s">
        <v>46</v>
      </c>
      <c r="F40" s="112">
        <v>80</v>
      </c>
      <c r="G40" s="112">
        <v>12.40079365079365</v>
      </c>
      <c r="H40" s="217" t="s">
        <v>223</v>
      </c>
      <c r="I40" s="197">
        <v>251.5968</v>
      </c>
      <c r="J40" s="47">
        <v>2</v>
      </c>
      <c r="K40" s="181">
        <v>1.4400000000000002</v>
      </c>
      <c r="L40" s="198">
        <v>0.2016</v>
      </c>
      <c r="M40" s="47">
        <v>32</v>
      </c>
      <c r="N40" s="182">
        <v>6.4512</v>
      </c>
      <c r="O40" s="192">
        <v>70.963200000000001</v>
      </c>
      <c r="P40" s="48"/>
      <c r="Q40" s="88">
        <f t="shared" si="0"/>
        <v>1197.3024</v>
      </c>
      <c r="R40" s="645">
        <v>5939</v>
      </c>
      <c r="S40" s="101">
        <f t="shared" si="1"/>
        <v>831.46</v>
      </c>
      <c r="T40" s="4"/>
      <c r="U40" s="4"/>
      <c r="V40" s="2"/>
      <c r="W40" s="82"/>
      <c r="X40" s="2"/>
    </row>
    <row r="41" spans="1:25" ht="22.5" customHeight="1" x14ac:dyDescent="0.25">
      <c r="A41" s="1246"/>
      <c r="B41" s="12">
        <v>1200</v>
      </c>
      <c r="C41" s="13">
        <v>600</v>
      </c>
      <c r="D41" s="14">
        <v>150</v>
      </c>
      <c r="E41" s="107" t="s">
        <v>46</v>
      </c>
      <c r="F41" s="112">
        <v>80.645161290322577</v>
      </c>
      <c r="G41" s="112">
        <v>11.667413381123058</v>
      </c>
      <c r="H41" s="214" t="s">
        <v>224</v>
      </c>
      <c r="I41" s="197">
        <v>269.56799999999998</v>
      </c>
      <c r="J41" s="47">
        <v>2</v>
      </c>
      <c r="K41" s="181">
        <v>1.4400000000000002</v>
      </c>
      <c r="L41" s="198">
        <v>0.216</v>
      </c>
      <c r="M41" s="47">
        <v>32</v>
      </c>
      <c r="N41" s="182">
        <v>6.9119999999999999</v>
      </c>
      <c r="O41" s="192">
        <v>76.031999999999996</v>
      </c>
      <c r="P41" s="48"/>
      <c r="Q41" s="88">
        <f t="shared" si="0"/>
        <v>1273.104</v>
      </c>
      <c r="R41" s="645">
        <v>5894</v>
      </c>
      <c r="S41" s="101">
        <f t="shared" si="1"/>
        <v>884.1</v>
      </c>
      <c r="T41" s="4"/>
      <c r="U41" s="4"/>
      <c r="V41" s="2"/>
      <c r="W41" s="82"/>
      <c r="X41" s="2"/>
    </row>
    <row r="42" spans="1:25" ht="22.5" customHeight="1" x14ac:dyDescent="0.25">
      <c r="A42" s="1246"/>
      <c r="B42" s="12">
        <v>1200</v>
      </c>
      <c r="C42" s="13">
        <v>600</v>
      </c>
      <c r="D42" s="14">
        <v>160</v>
      </c>
      <c r="E42" s="107" t="s">
        <v>46</v>
      </c>
      <c r="F42" s="112">
        <v>81.300813008130078</v>
      </c>
      <c r="G42" s="112">
        <v>12.602432571944766</v>
      </c>
      <c r="H42" s="214" t="s">
        <v>280</v>
      </c>
      <c r="I42" s="197">
        <v>251.5968</v>
      </c>
      <c r="J42" s="47">
        <v>2</v>
      </c>
      <c r="K42" s="181">
        <v>1.44</v>
      </c>
      <c r="L42" s="198">
        <v>0.23039999999999999</v>
      </c>
      <c r="M42" s="47">
        <v>28</v>
      </c>
      <c r="N42" s="182">
        <v>6.4512</v>
      </c>
      <c r="O42" s="192">
        <v>70.963200000000001</v>
      </c>
      <c r="P42" s="48"/>
      <c r="Q42" s="88">
        <f t="shared" si="0"/>
        <v>1349.2223999999999</v>
      </c>
      <c r="R42" s="645">
        <v>5856</v>
      </c>
      <c r="S42" s="101">
        <f t="shared" si="1"/>
        <v>936.96</v>
      </c>
      <c r="T42" s="4"/>
      <c r="U42" s="4"/>
      <c r="V42" s="2"/>
      <c r="W42" s="82"/>
      <c r="X42" s="2"/>
    </row>
    <row r="43" spans="1:25" ht="22.5" customHeight="1" x14ac:dyDescent="0.25">
      <c r="A43" s="1246"/>
      <c r="B43" s="12">
        <v>1200</v>
      </c>
      <c r="C43" s="13">
        <v>600</v>
      </c>
      <c r="D43" s="14">
        <v>170</v>
      </c>
      <c r="E43" s="107" t="s">
        <v>46</v>
      </c>
      <c r="F43" s="112">
        <v>81.967213114754102</v>
      </c>
      <c r="G43" s="112">
        <v>11.958335246666973</v>
      </c>
      <c r="H43" s="214" t="s">
        <v>279</v>
      </c>
      <c r="I43" s="197">
        <v>267.32159999999999</v>
      </c>
      <c r="J43" s="47">
        <v>2</v>
      </c>
      <c r="K43" s="181">
        <v>1.44</v>
      </c>
      <c r="L43" s="198">
        <v>0.24479999999999999</v>
      </c>
      <c r="M43" s="47">
        <v>28</v>
      </c>
      <c r="N43" s="182">
        <v>6.8544</v>
      </c>
      <c r="O43" s="192">
        <v>75.398399999999995</v>
      </c>
      <c r="P43" s="48"/>
      <c r="Q43" s="88">
        <f t="shared" si="0"/>
        <v>1424.9808</v>
      </c>
      <c r="R43" s="645">
        <v>5821</v>
      </c>
      <c r="S43" s="101">
        <f t="shared" si="1"/>
        <v>989.57</v>
      </c>
      <c r="T43" s="4"/>
      <c r="U43" s="4"/>
      <c r="V43" s="2"/>
      <c r="W43" s="82"/>
      <c r="X43" s="2"/>
    </row>
    <row r="44" spans="1:25" ht="22.5" customHeight="1" x14ac:dyDescent="0.25">
      <c r="A44" s="1246"/>
      <c r="B44" s="12">
        <v>1200</v>
      </c>
      <c r="C44" s="13">
        <v>600</v>
      </c>
      <c r="D44" s="14">
        <v>180</v>
      </c>
      <c r="E44" s="107" t="s">
        <v>46</v>
      </c>
      <c r="F44" s="112">
        <v>81.967213114754102</v>
      </c>
      <c r="G44" s="112">
        <v>13.176313836605276</v>
      </c>
      <c r="H44" s="214" t="s">
        <v>278</v>
      </c>
      <c r="I44" s="197">
        <v>242.61119999999997</v>
      </c>
      <c r="J44" s="47">
        <v>2</v>
      </c>
      <c r="K44" s="181">
        <v>1.44</v>
      </c>
      <c r="L44" s="198">
        <v>0.25919999999999999</v>
      </c>
      <c r="M44" s="47">
        <v>24</v>
      </c>
      <c r="N44" s="182">
        <v>6.2207999999999997</v>
      </c>
      <c r="O44" s="192">
        <v>68.428799999999995</v>
      </c>
      <c r="P44" s="48"/>
      <c r="Q44" s="88">
        <f t="shared" si="0"/>
        <v>1500.768</v>
      </c>
      <c r="R44" s="645">
        <v>5790</v>
      </c>
      <c r="S44" s="101">
        <f t="shared" si="1"/>
        <v>1042.2</v>
      </c>
      <c r="T44" s="4"/>
      <c r="U44" s="4"/>
      <c r="V44" s="2"/>
      <c r="W44" s="82"/>
      <c r="X44" s="2"/>
    </row>
    <row r="45" spans="1:25" ht="22.5" customHeight="1" x14ac:dyDescent="0.25">
      <c r="A45" s="1246"/>
      <c r="B45" s="12">
        <v>1200</v>
      </c>
      <c r="C45" s="13">
        <v>600</v>
      </c>
      <c r="D45" s="14">
        <v>190</v>
      </c>
      <c r="E45" s="107" t="s">
        <v>46</v>
      </c>
      <c r="F45" s="112">
        <v>82.644628099173559</v>
      </c>
      <c r="G45" s="112">
        <v>12.585987466370243</v>
      </c>
      <c r="H45" s="214" t="s">
        <v>277</v>
      </c>
      <c r="I45" s="197">
        <v>256.08959999999996</v>
      </c>
      <c r="J45" s="47">
        <v>2</v>
      </c>
      <c r="K45" s="181">
        <v>1.4400000000000002</v>
      </c>
      <c r="L45" s="198">
        <v>0.27360000000000001</v>
      </c>
      <c r="M45" s="47">
        <v>24</v>
      </c>
      <c r="N45" s="182">
        <v>6.5663999999999998</v>
      </c>
      <c r="O45" s="192">
        <v>72.230400000000003</v>
      </c>
      <c r="P45" s="48"/>
      <c r="Q45" s="88">
        <f t="shared" si="0"/>
        <v>1576.4832000000001</v>
      </c>
      <c r="R45" s="645">
        <v>5762</v>
      </c>
      <c r="S45" s="101">
        <f t="shared" si="1"/>
        <v>1094.78</v>
      </c>
      <c r="T45" s="4"/>
      <c r="U45" s="4"/>
      <c r="V45" s="2"/>
      <c r="W45" s="82"/>
      <c r="X45" s="2"/>
    </row>
    <row r="46" spans="1:25" ht="22.5" customHeight="1" thickBot="1" x14ac:dyDescent="0.3">
      <c r="A46" s="1247"/>
      <c r="B46" s="15">
        <v>1200</v>
      </c>
      <c r="C46" s="16">
        <v>600</v>
      </c>
      <c r="D46" s="17">
        <v>200</v>
      </c>
      <c r="E46" s="107" t="s">
        <v>46</v>
      </c>
      <c r="F46" s="63">
        <v>82.644628099173559</v>
      </c>
      <c r="G46" s="112">
        <v>11.956688093051731</v>
      </c>
      <c r="H46" s="218" t="s">
        <v>225</v>
      </c>
      <c r="I46" s="446">
        <v>269.56799999999998</v>
      </c>
      <c r="J46" s="49">
        <v>1</v>
      </c>
      <c r="K46" s="183">
        <v>0.72</v>
      </c>
      <c r="L46" s="189">
        <v>0.14399999999999999</v>
      </c>
      <c r="M46" s="49">
        <v>48</v>
      </c>
      <c r="N46" s="184">
        <v>6.911999999999999</v>
      </c>
      <c r="O46" s="195">
        <v>76.031999999999982</v>
      </c>
      <c r="P46" s="50"/>
      <c r="Q46" s="479">
        <f t="shared" si="0"/>
        <v>826.27199999999993</v>
      </c>
      <c r="R46" s="648">
        <v>5738</v>
      </c>
      <c r="S46" s="102">
        <f t="shared" si="1"/>
        <v>1147.5999999999999</v>
      </c>
      <c r="T46" s="4"/>
      <c r="U46" s="4"/>
      <c r="V46" s="2"/>
      <c r="W46" s="82"/>
      <c r="X46" s="2"/>
    </row>
    <row r="47" spans="1:25" ht="20.100000000000001" customHeight="1" x14ac:dyDescent="0.25">
      <c r="A47" s="18"/>
    </row>
    <row r="48" spans="1:25" ht="18.75" customHeight="1" x14ac:dyDescent="0.25">
      <c r="A48" s="1" t="s">
        <v>7</v>
      </c>
      <c r="E48" s="2"/>
      <c r="F48" s="2"/>
      <c r="G48" s="2"/>
      <c r="H48" s="2"/>
      <c r="I48" s="2"/>
      <c r="O48" s="1275" t="s">
        <v>21</v>
      </c>
      <c r="P48" s="1275"/>
      <c r="Q48" s="1275"/>
      <c r="R48" s="1275"/>
      <c r="S48" s="1275"/>
      <c r="U48" s="2"/>
      <c r="V48" s="2"/>
      <c r="W48" s="82"/>
      <c r="X48" s="2"/>
      <c r="Y48" s="2"/>
    </row>
    <row r="49" spans="1:25" s="32" customFormat="1" ht="20.100000000000001" customHeight="1" x14ac:dyDescent="0.25">
      <c r="A49" s="471" t="s">
        <v>342</v>
      </c>
      <c r="J49" s="33"/>
      <c r="L49" s="34"/>
      <c r="M49" s="33"/>
      <c r="N49" s="59"/>
      <c r="O49" s="1244" t="s">
        <v>40</v>
      </c>
      <c r="P49" s="1244"/>
      <c r="Q49" s="1244"/>
      <c r="R49" s="1244"/>
      <c r="S49" s="1244"/>
      <c r="W49" s="84"/>
    </row>
    <row r="50" spans="1:25" ht="20.100000000000001" customHeight="1" x14ac:dyDescent="0.25">
      <c r="A50" s="26" t="s">
        <v>23</v>
      </c>
      <c r="E50" s="2"/>
      <c r="F50" s="2"/>
      <c r="G50" s="2"/>
      <c r="H50" s="2"/>
      <c r="I50" s="2"/>
      <c r="O50" s="1244" t="s">
        <v>39</v>
      </c>
      <c r="P50" s="1244"/>
      <c r="Q50" s="1244"/>
      <c r="R50" s="1244"/>
      <c r="S50" s="1244"/>
      <c r="U50" s="2"/>
      <c r="V50" s="2"/>
      <c r="W50" s="82"/>
      <c r="X50" s="2"/>
      <c r="Y50" s="2"/>
    </row>
    <row r="51" spans="1:25" ht="20.100000000000001" customHeight="1" x14ac:dyDescent="0.25">
      <c r="A51" s="26" t="s">
        <v>24</v>
      </c>
      <c r="E51" s="2"/>
      <c r="F51" s="2"/>
      <c r="G51" s="2"/>
      <c r="H51" s="2"/>
      <c r="I51" s="2"/>
      <c r="O51" s="1245" t="s">
        <v>37</v>
      </c>
      <c r="P51" s="1245"/>
      <c r="Q51" s="1245"/>
      <c r="R51" s="1245"/>
      <c r="S51" s="1245"/>
      <c r="U51" s="2"/>
      <c r="V51" s="2"/>
      <c r="W51" s="82"/>
      <c r="X51" s="2"/>
      <c r="Y51" s="2"/>
    </row>
    <row r="52" spans="1:25" ht="20.100000000000001" customHeight="1" x14ac:dyDescent="0.25">
      <c r="A52" s="26" t="s">
        <v>52</v>
      </c>
      <c r="E52" s="2"/>
      <c r="F52" s="2"/>
      <c r="G52" s="2"/>
      <c r="H52" s="2"/>
      <c r="I52" s="2"/>
      <c r="Q52" s="1245" t="s">
        <v>38</v>
      </c>
      <c r="R52" s="1245"/>
      <c r="S52" s="1245"/>
      <c r="T52" s="74"/>
      <c r="U52" s="81"/>
      <c r="V52" s="2"/>
      <c r="W52" s="82"/>
      <c r="X52" s="2"/>
      <c r="Y52" s="2"/>
    </row>
    <row r="53" spans="1:25" ht="20.100000000000001" customHeight="1" x14ac:dyDescent="0.25">
      <c r="A53" s="30" t="s">
        <v>54</v>
      </c>
      <c r="E53" s="2"/>
      <c r="F53" s="2"/>
      <c r="G53" s="4"/>
      <c r="H53" s="2"/>
      <c r="I53" s="5"/>
      <c r="K53" s="56"/>
      <c r="U53" s="2"/>
      <c r="V53" s="2"/>
      <c r="W53" s="82"/>
      <c r="X53" s="2"/>
      <c r="Y53" s="2"/>
    </row>
    <row r="54" spans="1:25" ht="20.100000000000001" customHeight="1" x14ac:dyDescent="0.25">
      <c r="A54" s="30" t="s">
        <v>240</v>
      </c>
      <c r="E54" s="2"/>
      <c r="F54" s="2"/>
      <c r="G54" s="4"/>
      <c r="H54" s="2"/>
      <c r="I54" s="5"/>
      <c r="K54" s="56"/>
      <c r="U54" s="2"/>
      <c r="V54" s="2"/>
      <c r="W54" s="82"/>
      <c r="X54" s="2"/>
      <c r="Y54" s="2"/>
    </row>
    <row r="55" spans="1:25" ht="20.100000000000001" customHeight="1" x14ac:dyDescent="0.25">
      <c r="A55" s="30" t="s">
        <v>241</v>
      </c>
      <c r="E55" s="2"/>
      <c r="F55" s="2"/>
      <c r="G55" s="4"/>
      <c r="H55" s="2"/>
      <c r="I55" s="5"/>
      <c r="K55" s="56"/>
      <c r="U55" s="2"/>
      <c r="V55" s="2"/>
      <c r="W55" s="82"/>
      <c r="X55" s="2"/>
      <c r="Y55" s="2"/>
    </row>
    <row r="56" spans="1:25" ht="20.100000000000001" customHeight="1" x14ac:dyDescent="0.25">
      <c r="A56" s="30"/>
      <c r="E56" s="2"/>
      <c r="F56" s="4"/>
      <c r="G56" s="2"/>
      <c r="H56" s="2"/>
      <c r="I56" s="5"/>
      <c r="K56" s="56"/>
      <c r="U56" s="2"/>
      <c r="V56" s="2"/>
      <c r="W56" s="82"/>
      <c r="X56" s="2"/>
      <c r="Y56" s="2"/>
    </row>
    <row r="57" spans="1:25" ht="20.100000000000001" customHeight="1" x14ac:dyDescent="0.25">
      <c r="A57" s="30"/>
      <c r="E57" s="2"/>
      <c r="F57" s="4"/>
      <c r="G57" s="2"/>
      <c r="H57" s="2"/>
      <c r="I57" s="5"/>
      <c r="K57" s="56"/>
      <c r="U57" s="2"/>
      <c r="V57" s="2"/>
      <c r="W57" s="82"/>
      <c r="X57" s="2"/>
      <c r="Y57" s="2"/>
    </row>
    <row r="58" spans="1:25" ht="20.100000000000001" customHeight="1" x14ac:dyDescent="0.25">
      <c r="E58" s="2"/>
      <c r="F58" s="2"/>
      <c r="G58" s="2"/>
      <c r="H58" s="2"/>
      <c r="I58" s="2"/>
      <c r="U58" s="2"/>
      <c r="V58" s="2"/>
      <c r="W58" s="82"/>
      <c r="X58" s="2"/>
      <c r="Y58" s="2"/>
    </row>
    <row r="59" spans="1:25" ht="19.5" customHeight="1" x14ac:dyDescent="0.25">
      <c r="A59" s="2"/>
      <c r="E59" s="2"/>
      <c r="F59" s="2"/>
      <c r="G59" s="2"/>
      <c r="H59" s="2"/>
      <c r="I59" s="2"/>
      <c r="U59" s="2"/>
      <c r="V59" s="2"/>
      <c r="W59" s="82"/>
      <c r="X59" s="2"/>
      <c r="Y59" s="2"/>
    </row>
    <row r="60" spans="1:25" ht="20.100000000000001" customHeight="1" x14ac:dyDescent="0.25">
      <c r="A60" s="2"/>
      <c r="E60" s="2"/>
      <c r="F60" s="2"/>
      <c r="G60" s="2"/>
      <c r="H60" s="2"/>
      <c r="I60" s="2"/>
      <c r="U60" s="2"/>
      <c r="V60" s="2"/>
      <c r="W60" s="82"/>
      <c r="X60" s="2"/>
      <c r="Y60" s="2"/>
    </row>
    <row r="61" spans="1:25" ht="20.100000000000001" customHeight="1" x14ac:dyDescent="0.25">
      <c r="A61" s="2"/>
      <c r="C61" s="19"/>
      <c r="D61" s="20"/>
      <c r="E61" s="20"/>
      <c r="F61" s="20"/>
      <c r="G61" s="20"/>
      <c r="H61" s="20"/>
      <c r="I61" s="20"/>
      <c r="J61" s="21"/>
      <c r="K61" s="20"/>
      <c r="L61" s="22"/>
      <c r="M61" s="69"/>
      <c r="N61" s="60"/>
      <c r="O61" s="20"/>
      <c r="P61" s="22"/>
      <c r="Q61" s="22"/>
      <c r="R61" s="22"/>
      <c r="S61" s="22"/>
      <c r="U61" s="2"/>
      <c r="V61" s="2"/>
      <c r="W61" s="82"/>
      <c r="X61" s="2"/>
      <c r="Y61" s="2"/>
    </row>
    <row r="62" spans="1:25" ht="20.100000000000001" customHeight="1" x14ac:dyDescent="0.25">
      <c r="C62" s="23"/>
      <c r="D62" s="20"/>
      <c r="E62" s="20"/>
      <c r="F62" s="20"/>
      <c r="G62" s="20"/>
      <c r="H62" s="20"/>
      <c r="I62" s="20"/>
      <c r="J62" s="21"/>
      <c r="K62" s="20"/>
      <c r="L62" s="24"/>
      <c r="M62" s="70"/>
      <c r="N62" s="60"/>
      <c r="O62" s="20"/>
      <c r="P62" s="24"/>
      <c r="Q62" s="24"/>
      <c r="R62" s="24"/>
      <c r="S62" s="24"/>
      <c r="U62" s="2"/>
      <c r="V62" s="2"/>
      <c r="W62" s="82"/>
      <c r="X62" s="2"/>
      <c r="Y62" s="2"/>
    </row>
    <row r="63" spans="1:25" ht="20.100000000000001" customHeight="1" x14ac:dyDescent="0.25">
      <c r="C63" s="23"/>
      <c r="D63" s="20"/>
      <c r="E63" s="20"/>
      <c r="F63" s="20"/>
      <c r="G63" s="20"/>
      <c r="H63" s="20"/>
      <c r="I63" s="20"/>
      <c r="J63" s="21"/>
      <c r="K63" s="20"/>
      <c r="L63" s="24"/>
      <c r="M63" s="70"/>
      <c r="N63" s="60"/>
      <c r="O63" s="20"/>
      <c r="P63" s="24"/>
      <c r="Q63" s="24"/>
      <c r="R63" s="24"/>
      <c r="S63" s="24"/>
      <c r="U63" s="2"/>
      <c r="V63" s="2"/>
      <c r="W63" s="82"/>
      <c r="X63" s="2"/>
      <c r="Y63" s="2"/>
    </row>
    <row r="65" spans="2:2" x14ac:dyDescent="0.25">
      <c r="B65" s="25"/>
    </row>
  </sheetData>
  <mergeCells count="21">
    <mergeCell ref="Q52:S52"/>
    <mergeCell ref="O49:S49"/>
    <mergeCell ref="O50:S50"/>
    <mergeCell ref="J6:L6"/>
    <mergeCell ref="M6:N6"/>
    <mergeCell ref="O6:P6"/>
    <mergeCell ref="O51:S51"/>
    <mergeCell ref="A9:A20"/>
    <mergeCell ref="A22:A33"/>
    <mergeCell ref="A35:A46"/>
    <mergeCell ref="O48:S48"/>
    <mergeCell ref="A4:S4"/>
    <mergeCell ref="A6:A7"/>
    <mergeCell ref="B6:B7"/>
    <mergeCell ref="C6:C7"/>
    <mergeCell ref="D6:D7"/>
    <mergeCell ref="E6:E7"/>
    <mergeCell ref="Q6:S6"/>
    <mergeCell ref="F6:F7"/>
    <mergeCell ref="H6:H7"/>
    <mergeCell ref="I6:I7"/>
  </mergeCells>
  <phoneticPr fontId="65" type="noConversion"/>
  <hyperlinks>
    <hyperlink ref="O51" r:id="rId1"/>
    <hyperlink ref="Q52" r:id="rId2"/>
  </hyperlinks>
  <printOptions horizontalCentered="1"/>
  <pageMargins left="0.19685039370078741" right="0.19685039370078741" top="0.39370078740157483" bottom="0" header="0" footer="0"/>
  <pageSetup paperSize="9" scale="43" orientation="portrait" verticalDpi="1" r:id="rId3"/>
  <headerFooter alignWithMargins="0"/>
  <drawing r:id="rId4"/>
  <legacyDrawing r:id="rId5"/>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6">
    <tabColor rgb="FFFF0000"/>
  </sheetPr>
  <dimension ref="A1:Y38"/>
  <sheetViews>
    <sheetView showGridLines="0" view="pageBreakPreview" zoomScale="75" zoomScaleNormal="100" zoomScaleSheetLayoutView="75" workbookViewId="0">
      <pane xSplit="1" ySplit="7" topLeftCell="C8" activePane="bottomRight" state="frozen"/>
      <selection sqref="A1:IV65536"/>
      <selection pane="topRight" sqref="A1:IV65536"/>
      <selection pane="bottomLeft" sqref="A1:IV65536"/>
      <selection pane="bottomRight" activeCell="R8" sqref="R8"/>
    </sheetView>
  </sheetViews>
  <sheetFormatPr defaultColWidth="11.42578125" defaultRowHeight="18" x14ac:dyDescent="0.25"/>
  <cols>
    <col min="1" max="1" width="38.7109375" style="3" customWidth="1"/>
    <col min="2" max="4" width="9.7109375" style="2" customWidth="1"/>
    <col min="5" max="5" width="16.28515625" style="2" customWidth="1"/>
    <col min="6" max="8" width="10.42578125" style="71" hidden="1" customWidth="1"/>
    <col min="9" max="9" width="10.42578125" style="71" customWidth="1"/>
    <col min="10" max="10" width="11.5703125" style="4" customWidth="1"/>
    <col min="11" max="11" width="11.5703125" style="2" customWidth="1"/>
    <col min="12" max="12" width="11.5703125" style="5" customWidth="1"/>
    <col min="13" max="13" width="11.5703125" style="4" customWidth="1"/>
    <col min="14" max="14" width="11.5703125" style="56" customWidth="1"/>
    <col min="15" max="15" width="11.5703125" style="2" customWidth="1"/>
    <col min="16" max="16" width="11.5703125" style="5" customWidth="1"/>
    <col min="17" max="19" width="15.140625" style="2" customWidth="1"/>
    <col min="20" max="20" width="11.42578125" style="2"/>
    <col min="21" max="25" width="9.140625" customWidth="1"/>
    <col min="26" max="16384" width="11.42578125" style="2"/>
  </cols>
  <sheetData>
    <row r="1" spans="1:25" ht="26.25" x14ac:dyDescent="0.4">
      <c r="A1" s="75" t="s">
        <v>19</v>
      </c>
    </row>
    <row r="2" spans="1:25" s="27" customFormat="1" ht="26.25" x14ac:dyDescent="0.4">
      <c r="A2" s="75" t="s">
        <v>20</v>
      </c>
      <c r="F2" s="72"/>
      <c r="G2" s="72"/>
      <c r="H2" s="72"/>
      <c r="I2" s="72"/>
      <c r="J2" s="28"/>
      <c r="L2" s="29"/>
      <c r="M2" s="28"/>
      <c r="N2" s="57"/>
      <c r="P2" s="29"/>
    </row>
    <row r="3" spans="1:25" s="27" customFormat="1" ht="60" customHeight="1" x14ac:dyDescent="0.4">
      <c r="A3" s="2" t="s">
        <v>53</v>
      </c>
      <c r="F3" s="72"/>
      <c r="G3" s="72"/>
      <c r="H3" s="72"/>
      <c r="I3" s="72"/>
      <c r="J3" s="28"/>
      <c r="L3" s="29"/>
      <c r="M3" s="28"/>
      <c r="N3" s="57"/>
      <c r="P3" s="29"/>
    </row>
    <row r="4" spans="1:25" x14ac:dyDescent="0.25">
      <c r="A4" s="1248">
        <v>40360</v>
      </c>
      <c r="B4" s="1249"/>
      <c r="C4" s="1249"/>
      <c r="D4" s="1249"/>
      <c r="E4" s="1249"/>
      <c r="F4" s="1249"/>
      <c r="G4" s="1249"/>
      <c r="H4" s="1249"/>
      <c r="I4" s="1249"/>
      <c r="J4" s="1249"/>
      <c r="K4" s="1249"/>
      <c r="L4" s="1249"/>
      <c r="M4" s="1249"/>
      <c r="N4" s="1249"/>
      <c r="O4" s="1249"/>
      <c r="P4" s="1249"/>
      <c r="Q4" s="1249"/>
      <c r="R4" s="1249"/>
      <c r="S4" s="1249"/>
      <c r="T4" s="1249"/>
    </row>
    <row r="5" spans="1:25" ht="18.75" thickBot="1" x14ac:dyDescent="0.3">
      <c r="A5" s="6"/>
      <c r="B5" s="7"/>
      <c r="C5" s="7"/>
      <c r="D5" s="7"/>
      <c r="E5" s="7"/>
      <c r="F5" s="73"/>
      <c r="G5" s="73"/>
      <c r="H5" s="73"/>
      <c r="I5" s="73"/>
      <c r="J5" s="7"/>
      <c r="K5" s="7"/>
      <c r="L5" s="7"/>
      <c r="M5" s="67"/>
      <c r="N5" s="58"/>
      <c r="O5" s="7"/>
      <c r="P5" s="7"/>
      <c r="Q5" s="7"/>
      <c r="R5" s="7"/>
      <c r="S5" s="7"/>
      <c r="T5" s="7"/>
    </row>
    <row r="6" spans="1:25" ht="72.75" customHeight="1" x14ac:dyDescent="0.25">
      <c r="A6" s="1250" t="s">
        <v>0</v>
      </c>
      <c r="B6" s="1252" t="s">
        <v>1</v>
      </c>
      <c r="C6" s="1254" t="s">
        <v>2</v>
      </c>
      <c r="D6" s="1256" t="s">
        <v>3</v>
      </c>
      <c r="E6" s="1258" t="s">
        <v>133</v>
      </c>
      <c r="F6" s="1260" t="s">
        <v>36</v>
      </c>
      <c r="G6" s="1260" t="s">
        <v>56</v>
      </c>
      <c r="H6" s="109"/>
      <c r="I6" s="1260" t="s">
        <v>56</v>
      </c>
      <c r="J6" s="1301" t="s">
        <v>49</v>
      </c>
      <c r="K6" s="1302"/>
      <c r="L6" s="1303"/>
      <c r="M6" s="1304" t="s">
        <v>48</v>
      </c>
      <c r="N6" s="1305"/>
      <c r="O6" s="1269" t="s">
        <v>44</v>
      </c>
      <c r="P6" s="1270"/>
      <c r="Q6" s="1308" t="s">
        <v>4</v>
      </c>
      <c r="R6" s="1302"/>
      <c r="S6" s="1309"/>
    </row>
    <row r="7" spans="1:25" ht="38.25" customHeight="1" thickBot="1" x14ac:dyDescent="0.3">
      <c r="A7" s="1251"/>
      <c r="B7" s="1253"/>
      <c r="C7" s="1255"/>
      <c r="D7" s="1257"/>
      <c r="E7" s="1259"/>
      <c r="F7" s="1263"/>
      <c r="G7" s="1262"/>
      <c r="H7" s="117"/>
      <c r="I7" s="1262"/>
      <c r="J7" s="43" t="s">
        <v>5</v>
      </c>
      <c r="K7" s="54" t="s">
        <v>17</v>
      </c>
      <c r="L7" s="64" t="s">
        <v>18</v>
      </c>
      <c r="M7" s="68" t="s">
        <v>47</v>
      </c>
      <c r="N7" s="66" t="s">
        <v>18</v>
      </c>
      <c r="O7" s="65" t="s">
        <v>43</v>
      </c>
      <c r="P7" s="44" t="s">
        <v>42</v>
      </c>
      <c r="Q7" s="42" t="s">
        <v>6</v>
      </c>
      <c r="R7" s="54" t="s">
        <v>18</v>
      </c>
      <c r="S7" s="41" t="s">
        <v>22</v>
      </c>
      <c r="U7" s="2"/>
      <c r="V7" s="2"/>
      <c r="W7" s="2"/>
      <c r="X7" s="2"/>
    </row>
    <row r="8" spans="1:25" ht="24.95" customHeight="1" thickBot="1" x14ac:dyDescent="0.3">
      <c r="A8" s="8" t="s">
        <v>15</v>
      </c>
      <c r="B8" s="9">
        <v>1200</v>
      </c>
      <c r="C8" s="10">
        <v>600</v>
      </c>
      <c r="D8" s="11">
        <v>100</v>
      </c>
      <c r="E8" s="244">
        <v>54078</v>
      </c>
      <c r="F8" s="87" t="s">
        <v>46</v>
      </c>
      <c r="G8" s="120"/>
      <c r="H8" s="123"/>
      <c r="I8" s="202">
        <f t="shared" ref="I8:I19" si="0">11*N8*3</f>
        <v>228.09599999999995</v>
      </c>
      <c r="J8" s="45">
        <v>2</v>
      </c>
      <c r="K8" s="179">
        <v>1.44</v>
      </c>
      <c r="L8" s="180">
        <v>0.14399999999999999</v>
      </c>
      <c r="M8" s="45">
        <v>48</v>
      </c>
      <c r="N8" s="180">
        <v>6.911999999999999</v>
      </c>
      <c r="O8" s="201">
        <v>76.031999999999982</v>
      </c>
      <c r="P8" s="46"/>
      <c r="Q8" s="51">
        <v>477.74117647058819</v>
      </c>
      <c r="R8" s="37">
        <v>3318</v>
      </c>
      <c r="S8" s="38">
        <f t="shared" ref="S8:S17" si="1">R8*D8/1000</f>
        <v>331.8</v>
      </c>
      <c r="U8" s="4"/>
      <c r="V8" s="2"/>
      <c r="W8" s="78"/>
      <c r="X8" s="2"/>
      <c r="Y8" s="2"/>
    </row>
    <row r="9" spans="1:25" ht="24.95" customHeight="1" thickBot="1" x14ac:dyDescent="0.3">
      <c r="A9" s="1306" t="s">
        <v>50</v>
      </c>
      <c r="B9" s="12">
        <v>1200</v>
      </c>
      <c r="C9" s="13">
        <v>600</v>
      </c>
      <c r="D9" s="14">
        <v>102</v>
      </c>
      <c r="E9" s="245">
        <v>54079</v>
      </c>
      <c r="F9" s="87" t="s">
        <v>46</v>
      </c>
      <c r="G9" s="121"/>
      <c r="H9" s="118"/>
      <c r="I9" s="202">
        <f t="shared" si="0"/>
        <v>222.96383999999995</v>
      </c>
      <c r="J9" s="47">
        <v>2</v>
      </c>
      <c r="K9" s="181">
        <v>1.44</v>
      </c>
      <c r="L9" s="182">
        <v>0.14687999999999998</v>
      </c>
      <c r="M9" s="47">
        <v>46</v>
      </c>
      <c r="N9" s="182">
        <v>6.7564799999999989</v>
      </c>
      <c r="O9" s="192">
        <v>74.321279999999987</v>
      </c>
      <c r="P9" s="48"/>
      <c r="Q9" s="52">
        <v>487.29599999999994</v>
      </c>
      <c r="R9" s="36">
        <v>3317.6470588235293</v>
      </c>
      <c r="S9" s="38">
        <f>R9*D9/1000</f>
        <v>338.4</v>
      </c>
      <c r="U9" s="2"/>
      <c r="V9" s="2"/>
      <c r="W9" s="2"/>
      <c r="X9" s="2"/>
      <c r="Y9" s="2"/>
    </row>
    <row r="10" spans="1:25" ht="24.95" customHeight="1" thickBot="1" x14ac:dyDescent="0.3">
      <c r="A10" s="1306"/>
      <c r="B10" s="12">
        <v>1200</v>
      </c>
      <c r="C10" s="13">
        <v>600</v>
      </c>
      <c r="D10" s="14">
        <v>122</v>
      </c>
      <c r="E10" s="245">
        <v>54066</v>
      </c>
      <c r="F10" s="87" t="s">
        <v>46</v>
      </c>
      <c r="G10" s="121"/>
      <c r="H10" s="118"/>
      <c r="I10" s="202">
        <f t="shared" si="0"/>
        <v>220.30272000000002</v>
      </c>
      <c r="J10" s="47">
        <v>2</v>
      </c>
      <c r="K10" s="181">
        <v>1.44</v>
      </c>
      <c r="L10" s="182">
        <v>0.17568</v>
      </c>
      <c r="M10" s="47">
        <v>38</v>
      </c>
      <c r="N10" s="182">
        <v>6.67584</v>
      </c>
      <c r="O10" s="192">
        <v>73.434240000000003</v>
      </c>
      <c r="P10" s="48"/>
      <c r="Q10" s="52">
        <v>582.84423529411765</v>
      </c>
      <c r="R10" s="36">
        <v>3317.6470588235293</v>
      </c>
      <c r="S10" s="38">
        <f t="shared" si="1"/>
        <v>404.75294117647053</v>
      </c>
      <c r="U10" s="2"/>
      <c r="V10" s="2"/>
      <c r="W10" s="2"/>
      <c r="X10" s="2"/>
      <c r="Y10" s="2"/>
    </row>
    <row r="11" spans="1:25" ht="24.95" customHeight="1" thickBot="1" x14ac:dyDescent="0.3">
      <c r="A11" s="1306"/>
      <c r="B11" s="12">
        <v>1200</v>
      </c>
      <c r="C11" s="13">
        <v>627</v>
      </c>
      <c r="D11" s="14">
        <v>100</v>
      </c>
      <c r="E11" s="245">
        <v>322456</v>
      </c>
      <c r="F11" s="87" t="s">
        <v>46</v>
      </c>
      <c r="G11" s="121"/>
      <c r="H11" s="118"/>
      <c r="I11" s="202">
        <f t="shared" si="0"/>
        <v>238.36032</v>
      </c>
      <c r="J11" s="47">
        <v>2</v>
      </c>
      <c r="K11" s="181">
        <v>1.5047999999999999</v>
      </c>
      <c r="L11" s="182">
        <v>0.15048</v>
      </c>
      <c r="M11" s="47">
        <v>48</v>
      </c>
      <c r="N11" s="182">
        <v>7.2230400000000001</v>
      </c>
      <c r="O11" s="192">
        <v>79.453440000000001</v>
      </c>
      <c r="P11" s="48"/>
      <c r="Q11" s="52">
        <v>499.23952941176469</v>
      </c>
      <c r="R11" s="36">
        <v>3317.6470588235293</v>
      </c>
      <c r="S11" s="38">
        <f>R11*D11/1000</f>
        <v>331.76470588235293</v>
      </c>
      <c r="U11" s="2"/>
      <c r="V11" s="2"/>
      <c r="W11" s="2"/>
      <c r="X11" s="2"/>
      <c r="Y11" s="2"/>
    </row>
    <row r="12" spans="1:25" ht="24.95" customHeight="1" thickBot="1" x14ac:dyDescent="0.3">
      <c r="A12" s="1306"/>
      <c r="B12" s="12">
        <v>1200</v>
      </c>
      <c r="C12" s="13">
        <v>627</v>
      </c>
      <c r="D12" s="14">
        <v>102</v>
      </c>
      <c r="E12" s="245">
        <v>31652</v>
      </c>
      <c r="F12" s="87" t="s">
        <v>46</v>
      </c>
      <c r="G12" s="121"/>
      <c r="H12" s="118"/>
      <c r="I12" s="202">
        <f t="shared" si="0"/>
        <v>232.9972128</v>
      </c>
      <c r="J12" s="47">
        <v>2</v>
      </c>
      <c r="K12" s="181">
        <v>1.5047999999999999</v>
      </c>
      <c r="L12" s="182">
        <v>0.1534896</v>
      </c>
      <c r="M12" s="47">
        <v>46</v>
      </c>
      <c r="N12" s="182">
        <v>7.0605216000000004</v>
      </c>
      <c r="O12" s="192">
        <v>77.6657376</v>
      </c>
      <c r="P12" s="48"/>
      <c r="Q12" s="52">
        <v>509.22431999999998</v>
      </c>
      <c r="R12" s="36">
        <v>3317.6470588235293</v>
      </c>
      <c r="S12" s="38">
        <f t="shared" si="1"/>
        <v>338.4</v>
      </c>
      <c r="U12" s="2"/>
      <c r="V12" s="2"/>
      <c r="W12" s="2"/>
      <c r="X12" s="2"/>
      <c r="Y12" s="2"/>
    </row>
    <row r="13" spans="1:25" ht="24.95" customHeight="1" thickBot="1" x14ac:dyDescent="0.3">
      <c r="A13" s="1307"/>
      <c r="B13" s="15">
        <v>1200</v>
      </c>
      <c r="C13" s="16">
        <v>627</v>
      </c>
      <c r="D13" s="17">
        <v>122</v>
      </c>
      <c r="E13" s="237">
        <v>54090</v>
      </c>
      <c r="F13" s="87" t="s">
        <v>46</v>
      </c>
      <c r="G13" s="122"/>
      <c r="H13" s="119"/>
      <c r="I13" s="202">
        <f t="shared" si="0"/>
        <v>230.21634239999997</v>
      </c>
      <c r="J13" s="49">
        <v>2</v>
      </c>
      <c r="K13" s="183">
        <v>1.5047999999999999</v>
      </c>
      <c r="L13" s="184">
        <v>0.18358559999999999</v>
      </c>
      <c r="M13" s="49">
        <v>38</v>
      </c>
      <c r="N13" s="184">
        <v>6.9762527999999993</v>
      </c>
      <c r="O13" s="195">
        <v>76.738780799999986</v>
      </c>
      <c r="P13" s="50"/>
      <c r="Q13" s="53">
        <v>609.07222588235288</v>
      </c>
      <c r="R13" s="39">
        <v>3317.6470588235293</v>
      </c>
      <c r="S13" s="38">
        <f t="shared" si="1"/>
        <v>404.75294117647053</v>
      </c>
      <c r="U13" s="2"/>
      <c r="V13" s="2"/>
      <c r="W13" s="2"/>
      <c r="X13" s="2"/>
      <c r="Y13" s="2"/>
    </row>
    <row r="14" spans="1:25" ht="22.5" customHeight="1" thickBot="1" x14ac:dyDescent="0.3">
      <c r="A14" s="35" t="s">
        <v>16</v>
      </c>
      <c r="B14" s="9">
        <v>1200</v>
      </c>
      <c r="C14" s="10">
        <v>600</v>
      </c>
      <c r="D14" s="11">
        <v>50</v>
      </c>
      <c r="E14" s="244">
        <v>342457</v>
      </c>
      <c r="F14" s="61" t="s">
        <v>46</v>
      </c>
      <c r="G14" s="106">
        <f t="shared" ref="G14:G19" si="2">10000/140</f>
        <v>71.428571428571431</v>
      </c>
      <c r="H14" s="106">
        <f t="shared" ref="H14:H19" si="3">G14/N14</f>
        <v>10.333994708994711</v>
      </c>
      <c r="I14" s="202">
        <f t="shared" si="0"/>
        <v>228.09599999999995</v>
      </c>
      <c r="J14" s="45">
        <v>4</v>
      </c>
      <c r="K14" s="179">
        <v>2.88</v>
      </c>
      <c r="L14" s="180">
        <v>0.14399999999999999</v>
      </c>
      <c r="M14" s="45">
        <v>48</v>
      </c>
      <c r="N14" s="180">
        <v>6.911999999999999</v>
      </c>
      <c r="O14" s="201">
        <v>76.031999999999982</v>
      </c>
      <c r="P14" s="46"/>
      <c r="Q14" s="51">
        <v>620.04705882352937</v>
      </c>
      <c r="R14" s="37">
        <v>4305.8823529411766</v>
      </c>
      <c r="S14" s="38">
        <f>R14*D14/1000</f>
        <v>215.29411764705881</v>
      </c>
    </row>
    <row r="15" spans="1:25" ht="22.5" customHeight="1" thickBot="1" x14ac:dyDescent="0.3">
      <c r="A15" s="1306" t="s">
        <v>51</v>
      </c>
      <c r="B15" s="12">
        <v>1200</v>
      </c>
      <c r="C15" s="13">
        <v>600</v>
      </c>
      <c r="D15" s="14">
        <v>60</v>
      </c>
      <c r="E15" s="246">
        <v>342458</v>
      </c>
      <c r="F15" s="62" t="s">
        <v>46</v>
      </c>
      <c r="G15" s="106">
        <f t="shared" si="2"/>
        <v>71.428571428571431</v>
      </c>
      <c r="H15" s="106">
        <f t="shared" si="3"/>
        <v>10.333994708994711</v>
      </c>
      <c r="I15" s="202">
        <f t="shared" si="0"/>
        <v>228.09599999999995</v>
      </c>
      <c r="J15" s="47">
        <v>4</v>
      </c>
      <c r="K15" s="181">
        <v>2.88</v>
      </c>
      <c r="L15" s="182">
        <v>0.17279999999999998</v>
      </c>
      <c r="M15" s="47">
        <v>40</v>
      </c>
      <c r="N15" s="182">
        <v>6.911999999999999</v>
      </c>
      <c r="O15" s="192">
        <v>76.031999999999982</v>
      </c>
      <c r="P15" s="48"/>
      <c r="Q15" s="52">
        <v>744.05647058823524</v>
      </c>
      <c r="R15" s="36">
        <v>4305.8823529411766</v>
      </c>
      <c r="S15" s="38">
        <f t="shared" si="1"/>
        <v>258.35294117647061</v>
      </c>
    </row>
    <row r="16" spans="1:25" ht="22.5" customHeight="1" thickBot="1" x14ac:dyDescent="0.3">
      <c r="A16" s="1306"/>
      <c r="B16" s="12">
        <v>1200</v>
      </c>
      <c r="C16" s="13">
        <v>600</v>
      </c>
      <c r="D16" s="14">
        <v>70</v>
      </c>
      <c r="E16" s="246">
        <v>342459</v>
      </c>
      <c r="F16" s="62" t="s">
        <v>46</v>
      </c>
      <c r="G16" s="106">
        <f t="shared" si="2"/>
        <v>71.428571428571431</v>
      </c>
      <c r="H16" s="106">
        <f t="shared" si="3"/>
        <v>10.420835000666933</v>
      </c>
      <c r="I16" s="202">
        <f t="shared" si="0"/>
        <v>226.1952</v>
      </c>
      <c r="J16" s="47">
        <v>2</v>
      </c>
      <c r="K16" s="181">
        <v>1.44</v>
      </c>
      <c r="L16" s="182">
        <v>0.1008</v>
      </c>
      <c r="M16" s="47">
        <v>68</v>
      </c>
      <c r="N16" s="182">
        <v>6.8544</v>
      </c>
      <c r="O16" s="192">
        <v>75.398399999999995</v>
      </c>
      <c r="P16" s="48"/>
      <c r="Q16" s="52">
        <v>434.03294117647062</v>
      </c>
      <c r="R16" s="36">
        <v>4305.8823529411766</v>
      </c>
      <c r="S16" s="38">
        <f>R16*D16/1000</f>
        <v>301.41176470588238</v>
      </c>
    </row>
    <row r="17" spans="1:25" ht="22.5" customHeight="1" thickBot="1" x14ac:dyDescent="0.3">
      <c r="A17" s="1306"/>
      <c r="B17" s="12">
        <v>1200</v>
      </c>
      <c r="C17" s="13">
        <v>600</v>
      </c>
      <c r="D17" s="14">
        <v>80</v>
      </c>
      <c r="E17" s="246">
        <v>342460</v>
      </c>
      <c r="F17" s="62" t="s">
        <v>46</v>
      </c>
      <c r="G17" s="106">
        <f t="shared" si="2"/>
        <v>71.428571428571431</v>
      </c>
      <c r="H17" s="106">
        <f t="shared" si="3"/>
        <v>10.333994708994711</v>
      </c>
      <c r="I17" s="202">
        <f t="shared" si="0"/>
        <v>228.09599999999995</v>
      </c>
      <c r="J17" s="47">
        <v>2</v>
      </c>
      <c r="K17" s="181">
        <v>1.44</v>
      </c>
      <c r="L17" s="182">
        <v>0.11519999999999998</v>
      </c>
      <c r="M17" s="47">
        <v>60</v>
      </c>
      <c r="N17" s="182">
        <v>6.911999999999999</v>
      </c>
      <c r="O17" s="192">
        <v>76.031999999999982</v>
      </c>
      <c r="P17" s="48"/>
      <c r="Q17" s="52">
        <v>496.0376470588235</v>
      </c>
      <c r="R17" s="36">
        <v>4305.8823529411766</v>
      </c>
      <c r="S17" s="38">
        <f t="shared" si="1"/>
        <v>344.47058823529409</v>
      </c>
    </row>
    <row r="18" spans="1:25" ht="22.5" customHeight="1" thickBot="1" x14ac:dyDescent="0.3">
      <c r="A18" s="1306"/>
      <c r="B18" s="12">
        <v>1200</v>
      </c>
      <c r="C18" s="13">
        <v>600</v>
      </c>
      <c r="D18" s="14">
        <v>90</v>
      </c>
      <c r="E18" s="246">
        <v>342461</v>
      </c>
      <c r="F18" s="62" t="s">
        <v>46</v>
      </c>
      <c r="G18" s="106">
        <f t="shared" si="2"/>
        <v>71.428571428571431</v>
      </c>
      <c r="H18" s="106">
        <f t="shared" si="3"/>
        <v>10.598968932302267</v>
      </c>
      <c r="I18" s="202">
        <f t="shared" si="0"/>
        <v>222.39359999999999</v>
      </c>
      <c r="J18" s="47">
        <v>2</v>
      </c>
      <c r="K18" s="181">
        <v>1.44</v>
      </c>
      <c r="L18" s="182">
        <v>0.12959999999999999</v>
      </c>
      <c r="M18" s="47">
        <v>52</v>
      </c>
      <c r="N18" s="182">
        <v>6.7391999999999994</v>
      </c>
      <c r="O18" s="192">
        <v>74.131199999999993</v>
      </c>
      <c r="P18" s="48"/>
      <c r="Q18" s="52">
        <v>558.04235294117643</v>
      </c>
      <c r="R18" s="36">
        <v>4305.8823529411766</v>
      </c>
      <c r="S18" s="38">
        <f>R18*D18/1000</f>
        <v>387.52941176470591</v>
      </c>
    </row>
    <row r="19" spans="1:25" ht="22.5" customHeight="1" thickBot="1" x14ac:dyDescent="0.3">
      <c r="A19" s="1307"/>
      <c r="B19" s="15">
        <v>1200</v>
      </c>
      <c r="C19" s="16">
        <v>600</v>
      </c>
      <c r="D19" s="17">
        <v>100</v>
      </c>
      <c r="E19" s="247">
        <v>342462</v>
      </c>
      <c r="F19" s="63" t="s">
        <v>46</v>
      </c>
      <c r="G19" s="106">
        <f t="shared" si="2"/>
        <v>71.428571428571431</v>
      </c>
      <c r="H19" s="106">
        <f t="shared" si="3"/>
        <v>10.333994708994711</v>
      </c>
      <c r="I19" s="202">
        <f t="shared" si="0"/>
        <v>228.09599999999995</v>
      </c>
      <c r="J19" s="49">
        <v>1</v>
      </c>
      <c r="K19" s="183">
        <v>0.72</v>
      </c>
      <c r="L19" s="184">
        <v>7.1999999999999995E-2</v>
      </c>
      <c r="M19" s="49">
        <v>96</v>
      </c>
      <c r="N19" s="184">
        <v>6.911999999999999</v>
      </c>
      <c r="O19" s="195">
        <v>76.031999999999982</v>
      </c>
      <c r="P19" s="50"/>
      <c r="Q19" s="53">
        <v>310.02352941176468</v>
      </c>
      <c r="R19" s="39">
        <v>4305.8823529411766</v>
      </c>
      <c r="S19" s="38">
        <f>R19*D19/1000</f>
        <v>430.58823529411762</v>
      </c>
    </row>
    <row r="20" spans="1:25" ht="20.100000000000001" customHeight="1" x14ac:dyDescent="0.25">
      <c r="A20" s="18"/>
    </row>
    <row r="21" spans="1:25" ht="18.75" customHeight="1" x14ac:dyDescent="0.25">
      <c r="A21" s="1" t="s">
        <v>7</v>
      </c>
      <c r="F21" s="2"/>
      <c r="G21" s="2"/>
      <c r="H21" s="2"/>
      <c r="I21" s="2"/>
      <c r="O21" s="1275" t="s">
        <v>21</v>
      </c>
      <c r="P21" s="1275"/>
      <c r="Q21" s="1275"/>
      <c r="R21" s="1275"/>
      <c r="S21" s="1275"/>
      <c r="U21" s="2"/>
      <c r="V21" s="2"/>
      <c r="W21" s="2"/>
      <c r="X21" s="2"/>
      <c r="Y21" s="2"/>
    </row>
    <row r="22" spans="1:25" s="32" customFormat="1" ht="20.100000000000001" customHeight="1" x14ac:dyDescent="0.25">
      <c r="A22" s="26" t="s">
        <v>45</v>
      </c>
      <c r="J22" s="33"/>
      <c r="L22" s="34"/>
      <c r="M22" s="33"/>
      <c r="N22" s="59"/>
      <c r="O22" s="1244" t="s">
        <v>40</v>
      </c>
      <c r="P22" s="1244"/>
      <c r="Q22" s="1244"/>
      <c r="R22" s="1244"/>
      <c r="S22" s="1244"/>
    </row>
    <row r="23" spans="1:25" ht="20.100000000000001" customHeight="1" x14ac:dyDescent="0.25">
      <c r="A23" s="26" t="s">
        <v>23</v>
      </c>
      <c r="F23" s="2"/>
      <c r="G23" s="2"/>
      <c r="H23" s="2"/>
      <c r="I23" s="2"/>
      <c r="O23" s="1244" t="s">
        <v>39</v>
      </c>
      <c r="P23" s="1244"/>
      <c r="Q23" s="1244"/>
      <c r="R23" s="1244"/>
      <c r="S23" s="1244"/>
      <c r="U23" s="2"/>
      <c r="V23" s="2"/>
      <c r="W23" s="2"/>
      <c r="X23" s="2"/>
      <c r="Y23" s="2"/>
    </row>
    <row r="24" spans="1:25" ht="20.100000000000001" customHeight="1" x14ac:dyDescent="0.25">
      <c r="A24" s="26" t="s">
        <v>24</v>
      </c>
      <c r="F24" s="2"/>
      <c r="G24" s="2"/>
      <c r="H24" s="2"/>
      <c r="I24" s="2"/>
      <c r="O24" s="1245" t="s">
        <v>37</v>
      </c>
      <c r="P24" s="1245"/>
      <c r="Q24" s="1245"/>
      <c r="R24" s="1245"/>
      <c r="S24" s="1245"/>
      <c r="U24" s="2"/>
      <c r="V24" s="2"/>
      <c r="W24" s="2"/>
      <c r="X24" s="2"/>
      <c r="Y24" s="2"/>
    </row>
    <row r="25" spans="1:25" ht="20.100000000000001" customHeight="1" x14ac:dyDescent="0.25">
      <c r="A25" s="26" t="s">
        <v>52</v>
      </c>
      <c r="F25" s="2"/>
      <c r="G25" s="2"/>
      <c r="H25" s="2"/>
      <c r="I25" s="2"/>
      <c r="Q25" s="1245" t="s">
        <v>38</v>
      </c>
      <c r="R25" s="1245"/>
      <c r="S25" s="1245"/>
      <c r="T25" s="74"/>
      <c r="U25" s="74"/>
      <c r="V25" s="2"/>
      <c r="W25" s="2"/>
      <c r="X25" s="2"/>
      <c r="Y25" s="2"/>
    </row>
    <row r="26" spans="1:25" ht="20.100000000000001" customHeight="1" x14ac:dyDescent="0.25">
      <c r="A26" s="30" t="s">
        <v>54</v>
      </c>
      <c r="F26" s="2"/>
      <c r="G26" s="2"/>
      <c r="H26" s="4"/>
      <c r="I26" s="2"/>
      <c r="J26" s="5"/>
      <c r="K26" s="4"/>
      <c r="L26" s="56"/>
      <c r="M26" s="5"/>
      <c r="N26" s="4"/>
      <c r="O26" s="56"/>
      <c r="P26" s="2"/>
      <c r="Q26" s="5"/>
      <c r="U26" s="2"/>
      <c r="V26" s="2"/>
      <c r="W26" s="2"/>
      <c r="X26" s="82"/>
      <c r="Y26" s="2"/>
    </row>
    <row r="27" spans="1:25" ht="20.100000000000001" customHeight="1" x14ac:dyDescent="0.25">
      <c r="A27" s="30" t="s">
        <v>240</v>
      </c>
      <c r="F27" s="2"/>
      <c r="G27" s="2"/>
      <c r="H27" s="4"/>
      <c r="I27" s="2"/>
      <c r="J27" s="5"/>
      <c r="K27" s="4"/>
      <c r="L27" s="56"/>
      <c r="M27" s="5"/>
      <c r="N27" s="4"/>
      <c r="O27" s="56"/>
      <c r="P27" s="2"/>
      <c r="Q27" s="5"/>
      <c r="U27" s="2"/>
      <c r="V27" s="2"/>
      <c r="W27" s="2"/>
      <c r="X27" s="82"/>
      <c r="Y27" s="2"/>
    </row>
    <row r="28" spans="1:25" ht="20.100000000000001" customHeight="1" x14ac:dyDescent="0.25">
      <c r="A28" s="30" t="s">
        <v>241</v>
      </c>
      <c r="F28" s="2"/>
      <c r="G28" s="2"/>
      <c r="H28" s="4"/>
      <c r="I28" s="2"/>
      <c r="J28" s="5"/>
      <c r="K28" s="4"/>
      <c r="L28" s="56"/>
      <c r="M28" s="5"/>
      <c r="N28" s="4"/>
      <c r="O28" s="56"/>
      <c r="P28" s="2"/>
      <c r="Q28" s="5"/>
      <c r="U28" s="2"/>
      <c r="V28" s="2"/>
      <c r="W28" s="2"/>
      <c r="X28" s="82"/>
      <c r="Y28" s="2"/>
    </row>
    <row r="29" spans="1:25" ht="20.100000000000001" customHeight="1" x14ac:dyDescent="0.25">
      <c r="A29" s="30"/>
      <c r="F29" s="2"/>
      <c r="G29" s="4"/>
      <c r="H29" s="2"/>
      <c r="I29" s="5"/>
      <c r="K29" s="56"/>
      <c r="U29" s="2"/>
      <c r="V29" s="2"/>
      <c r="W29" s="2"/>
      <c r="X29" s="2"/>
      <c r="Y29" s="2"/>
    </row>
    <row r="30" spans="1:25" ht="20.100000000000001" customHeight="1" x14ac:dyDescent="0.25">
      <c r="A30" s="30"/>
      <c r="F30" s="2"/>
      <c r="G30" s="4"/>
      <c r="H30" s="2"/>
      <c r="I30" s="5"/>
      <c r="K30" s="56"/>
      <c r="U30" s="2"/>
      <c r="V30" s="2"/>
      <c r="W30" s="2"/>
      <c r="X30" s="2"/>
      <c r="Y30" s="2"/>
    </row>
    <row r="31" spans="1:25" ht="20.100000000000001" customHeight="1" x14ac:dyDescent="0.25">
      <c r="F31" s="2"/>
      <c r="G31" s="2"/>
      <c r="H31" s="2"/>
      <c r="I31" s="2"/>
      <c r="U31" s="2"/>
      <c r="V31" s="2"/>
      <c r="W31" s="2"/>
      <c r="X31" s="2"/>
      <c r="Y31" s="2"/>
    </row>
    <row r="32" spans="1:25" ht="19.5" customHeight="1" x14ac:dyDescent="0.25">
      <c r="A32" s="2"/>
      <c r="F32" s="2"/>
      <c r="G32" s="2"/>
      <c r="H32" s="2"/>
      <c r="I32" s="2"/>
      <c r="U32" s="2"/>
      <c r="V32" s="2"/>
      <c r="W32" s="2"/>
      <c r="X32" s="2"/>
      <c r="Y32" s="2"/>
    </row>
    <row r="33" spans="1:25" ht="20.100000000000001" customHeight="1" x14ac:dyDescent="0.25">
      <c r="A33" s="2"/>
      <c r="F33" s="2"/>
      <c r="G33" s="2"/>
      <c r="H33" s="2"/>
      <c r="I33" s="2"/>
      <c r="U33" s="2"/>
      <c r="V33" s="2"/>
      <c r="W33" s="2"/>
      <c r="X33" s="2"/>
      <c r="Y33" s="2"/>
    </row>
    <row r="34" spans="1:25" ht="20.100000000000001" customHeight="1" x14ac:dyDescent="0.25">
      <c r="A34" s="2"/>
      <c r="C34" s="19"/>
      <c r="D34" s="20"/>
      <c r="E34" s="20"/>
      <c r="F34" s="20"/>
      <c r="G34" s="20"/>
      <c r="H34" s="20"/>
      <c r="I34" s="20"/>
      <c r="J34" s="21"/>
      <c r="K34" s="20"/>
      <c r="L34" s="22"/>
      <c r="M34" s="69"/>
      <c r="N34" s="60"/>
      <c r="O34" s="20"/>
      <c r="P34" s="22"/>
      <c r="Q34" s="22"/>
      <c r="R34" s="22"/>
      <c r="S34" s="22"/>
      <c r="U34" s="2"/>
      <c r="V34" s="2"/>
      <c r="W34" s="2"/>
      <c r="X34" s="2"/>
      <c r="Y34" s="2"/>
    </row>
    <row r="35" spans="1:25" ht="20.100000000000001" customHeight="1" x14ac:dyDescent="0.25">
      <c r="C35" s="23"/>
      <c r="D35" s="20"/>
      <c r="E35" s="20"/>
      <c r="F35" s="20"/>
      <c r="G35" s="20"/>
      <c r="H35" s="20"/>
      <c r="I35" s="20"/>
      <c r="J35" s="21"/>
      <c r="K35" s="20"/>
      <c r="L35" s="24"/>
      <c r="M35" s="70"/>
      <c r="N35" s="60"/>
      <c r="O35" s="20"/>
      <c r="P35" s="24"/>
      <c r="Q35" s="24"/>
      <c r="R35" s="24"/>
      <c r="S35" s="24"/>
      <c r="U35" s="2"/>
      <c r="V35" s="2"/>
      <c r="W35" s="2"/>
      <c r="X35" s="2"/>
      <c r="Y35" s="2"/>
    </row>
    <row r="36" spans="1:25" ht="20.100000000000001" customHeight="1" x14ac:dyDescent="0.25">
      <c r="C36" s="23"/>
      <c r="D36" s="20"/>
      <c r="E36" s="20"/>
      <c r="F36" s="20"/>
      <c r="G36" s="20"/>
      <c r="H36" s="20"/>
      <c r="I36" s="20"/>
      <c r="J36" s="21"/>
      <c r="K36" s="20"/>
      <c r="L36" s="24"/>
      <c r="M36" s="70"/>
      <c r="N36" s="60"/>
      <c r="O36" s="20"/>
      <c r="P36" s="24"/>
      <c r="Q36" s="24"/>
      <c r="R36" s="24"/>
      <c r="S36" s="24"/>
      <c r="U36" s="2"/>
      <c r="V36" s="2"/>
      <c r="W36" s="2"/>
      <c r="X36" s="2"/>
      <c r="Y36" s="2"/>
    </row>
    <row r="38" spans="1:25" x14ac:dyDescent="0.25">
      <c r="B38" s="25"/>
    </row>
  </sheetData>
  <mergeCells count="20">
    <mergeCell ref="A9:A13"/>
    <mergeCell ref="A15:A19"/>
    <mergeCell ref="Q6:S6"/>
    <mergeCell ref="Q25:S25"/>
    <mergeCell ref="O21:S21"/>
    <mergeCell ref="O22:S22"/>
    <mergeCell ref="O23:S23"/>
    <mergeCell ref="O24:S24"/>
    <mergeCell ref="G6:G7"/>
    <mergeCell ref="E6:E7"/>
    <mergeCell ref="A4:T4"/>
    <mergeCell ref="A6:A7"/>
    <mergeCell ref="B6:B7"/>
    <mergeCell ref="C6:C7"/>
    <mergeCell ref="D6:D7"/>
    <mergeCell ref="F6:F7"/>
    <mergeCell ref="J6:L6"/>
    <mergeCell ref="M6:N6"/>
    <mergeCell ref="O6:P6"/>
    <mergeCell ref="I6:I7"/>
  </mergeCells>
  <phoneticPr fontId="65" type="noConversion"/>
  <hyperlinks>
    <hyperlink ref="O24" r:id="rId1"/>
    <hyperlink ref="Q25" r:id="rId2"/>
  </hyperlinks>
  <printOptions horizontalCentered="1"/>
  <pageMargins left="0.19685039370078741" right="0.19685039370078741" top="0.39370078740157483" bottom="0" header="0" footer="0"/>
  <pageSetup paperSize="9" scale="46" orientation="portrait" verticalDpi="1" r:id="rId3"/>
  <headerFooter alignWithMargins="0"/>
  <drawing r:id="rId4"/>
  <legacyDrawing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rgb="FFFF0000"/>
  </sheetPr>
  <dimension ref="A1:U115"/>
  <sheetViews>
    <sheetView view="pageBreakPreview" topLeftCell="A88" zoomScaleNormal="100" zoomScaleSheetLayoutView="100" workbookViewId="0">
      <selection activeCell="N113" sqref="N113"/>
    </sheetView>
  </sheetViews>
  <sheetFormatPr defaultRowHeight="14.25" x14ac:dyDescent="0.2"/>
  <cols>
    <col min="1" max="1" width="35.5703125" style="334" customWidth="1"/>
    <col min="2" max="2" width="6.5703125" style="334" customWidth="1"/>
    <col min="3" max="3" width="5" style="330" customWidth="1"/>
    <col min="4" max="4" width="4.28515625" style="331" customWidth="1"/>
    <col min="5" max="5" width="3.5703125" style="331" customWidth="1"/>
    <col min="6" max="6" width="3.85546875" style="331" customWidth="1"/>
    <col min="7" max="7" width="4.7109375" style="331" customWidth="1"/>
    <col min="8" max="8" width="5.42578125" style="332" customWidth="1"/>
    <col min="9" max="9" width="5.7109375" style="332" customWidth="1"/>
    <col min="10" max="10" width="5.85546875" style="332" customWidth="1"/>
    <col min="11" max="12" width="6" style="332" customWidth="1"/>
    <col min="13" max="13" width="6.140625" style="332" customWidth="1"/>
    <col min="14" max="14" width="4.5703125" style="332" customWidth="1"/>
    <col min="15" max="15" width="5.5703125" style="332" customWidth="1"/>
    <col min="16" max="16" width="19" style="1040" customWidth="1"/>
    <col min="17" max="18" width="9.140625" style="1040" customWidth="1"/>
    <col min="19" max="19" width="21.7109375" style="1040" customWidth="1"/>
    <col min="20" max="20" width="9.140625" style="1105" customWidth="1"/>
    <col min="21" max="21" width="15.85546875" style="1106" customWidth="1"/>
    <col min="22" max="16384" width="9.140625" style="332"/>
  </cols>
  <sheetData>
    <row r="1" spans="1:21" ht="15.75" customHeight="1" x14ac:dyDescent="0.2">
      <c r="A1" s="328" t="s">
        <v>286</v>
      </c>
      <c r="B1" s="329"/>
      <c r="L1" s="1116">
        <f>'ЛАЙТ Рязань'!$Q$5</f>
        <v>67</v>
      </c>
      <c r="M1" s="1117">
        <f>INDEX('Доставка по областям'!$C$2:$E$90,'ЛАЙТ Рязань'!$Q$5,3)</f>
        <v>61</v>
      </c>
      <c r="N1" s="1117">
        <f>INDEX('Доставка по областям'!$C$2:$E$90,'ЛАЙТ Рязань'!$Q$5,1)</f>
        <v>40</v>
      </c>
      <c r="O1" s="1117">
        <f>INDEX('Доставка по областям'!$C$2:$E$90,'ЛАЙТ Рязань'!$Q$5,2)</f>
        <v>64</v>
      </c>
      <c r="U1" s="1105" t="s">
        <v>413</v>
      </c>
    </row>
    <row r="2" spans="1:21" ht="11.25" customHeight="1" thickBot="1" x14ac:dyDescent="0.25">
      <c r="A2" s="333" t="s">
        <v>287</v>
      </c>
      <c r="I2" s="1323" t="s">
        <v>288</v>
      </c>
      <c r="J2" s="1323"/>
      <c r="K2" s="1323"/>
      <c r="L2" s="1323"/>
      <c r="M2" s="1323"/>
      <c r="N2" s="1322">
        <v>40605</v>
      </c>
      <c r="O2" s="1322"/>
      <c r="T2" s="1106" t="s">
        <v>415</v>
      </c>
      <c r="U2" s="1107">
        <f>'ЛАЙТ Рязань'!V2</f>
        <v>4</v>
      </c>
    </row>
    <row r="3" spans="1:21" s="335" customFormat="1" ht="39.75" customHeight="1" x14ac:dyDescent="0.35">
      <c r="A3" s="1324" t="s">
        <v>0</v>
      </c>
      <c r="B3" s="1326" t="s">
        <v>281</v>
      </c>
      <c r="C3" s="1328" t="s">
        <v>1</v>
      </c>
      <c r="D3" s="1330" t="s">
        <v>2</v>
      </c>
      <c r="E3" s="1332" t="s">
        <v>3</v>
      </c>
      <c r="F3" s="1319" t="s">
        <v>289</v>
      </c>
      <c r="G3" s="1319" t="s">
        <v>290</v>
      </c>
      <c r="H3" s="1321"/>
      <c r="I3" s="1319" t="s">
        <v>291</v>
      </c>
      <c r="J3" s="1335"/>
      <c r="K3" s="1319" t="s">
        <v>292</v>
      </c>
      <c r="L3" s="1321"/>
      <c r="M3" s="1319" t="s">
        <v>340</v>
      </c>
      <c r="N3" s="1320"/>
      <c r="O3" s="1321"/>
      <c r="P3" s="1014"/>
      <c r="Q3" s="1014"/>
      <c r="R3" s="1014"/>
      <c r="S3" s="1014"/>
      <c r="T3" s="1106" t="s">
        <v>416</v>
      </c>
      <c r="U3" s="1108">
        <f>'ЛАЙТ Рязань'!V3</f>
        <v>4</v>
      </c>
    </row>
    <row r="4" spans="1:21" s="335" customFormat="1" ht="31.5" customHeight="1" thickBot="1" x14ac:dyDescent="0.3">
      <c r="A4" s="1325"/>
      <c r="B4" s="1327"/>
      <c r="C4" s="1329"/>
      <c r="D4" s="1331"/>
      <c r="E4" s="1333"/>
      <c r="F4" s="1334"/>
      <c r="G4" s="465" t="s">
        <v>5</v>
      </c>
      <c r="H4" s="336" t="s">
        <v>293</v>
      </c>
      <c r="I4" s="465" t="s">
        <v>47</v>
      </c>
      <c r="J4" s="337" t="s">
        <v>293</v>
      </c>
      <c r="K4" s="465" t="s">
        <v>294</v>
      </c>
      <c r="L4" s="336" t="s">
        <v>295</v>
      </c>
      <c r="M4" s="465" t="s">
        <v>6</v>
      </c>
      <c r="N4" s="460" t="s">
        <v>293</v>
      </c>
      <c r="O4" s="336" t="s">
        <v>296</v>
      </c>
      <c r="P4" s="1033"/>
      <c r="Q4" s="1033"/>
      <c r="R4" s="1033"/>
      <c r="S4" s="1095"/>
      <c r="T4" s="1109"/>
      <c r="U4" s="1106"/>
    </row>
    <row r="5" spans="1:21" ht="15" customHeight="1" x14ac:dyDescent="0.2">
      <c r="A5" s="376" t="s">
        <v>548</v>
      </c>
      <c r="B5" s="601">
        <v>372998</v>
      </c>
      <c r="C5" s="349">
        <v>1200</v>
      </c>
      <c r="D5" s="350">
        <v>600</v>
      </c>
      <c r="E5" s="394">
        <v>50</v>
      </c>
      <c r="F5" s="351" t="s">
        <v>297</v>
      </c>
      <c r="G5" s="352">
        <v>8</v>
      </c>
      <c r="H5" s="353">
        <v>0.28799999999999998</v>
      </c>
      <c r="I5" s="352">
        <v>24</v>
      </c>
      <c r="J5" s="354">
        <v>6.9119999999999999</v>
      </c>
      <c r="K5" s="355">
        <v>76.031999999999996</v>
      </c>
      <c r="L5" s="353">
        <v>103.68</v>
      </c>
      <c r="M5" s="356">
        <f>N5*H5</f>
        <v>399.74399999999997</v>
      </c>
      <c r="N5" s="617">
        <v>1388</v>
      </c>
      <c r="O5" s="357">
        <f>N5*E5/1000</f>
        <v>69.400000000000006</v>
      </c>
      <c r="T5" s="1110" t="s">
        <v>412</v>
      </c>
      <c r="U5" s="1111">
        <f>IF($U$2&lt;4,INDEX('Доставка по областям'!$J$54:$J$57,U2)+INDEX('Доставка по областям'!$J$58:$J$61,$U$3),0)</f>
        <v>0</v>
      </c>
    </row>
    <row r="6" spans="1:21" ht="15" customHeight="1" x14ac:dyDescent="0.2">
      <c r="A6" s="347" t="s">
        <v>298</v>
      </c>
      <c r="B6" s="601">
        <v>36932</v>
      </c>
      <c r="C6" s="349">
        <v>1200</v>
      </c>
      <c r="D6" s="350">
        <v>600</v>
      </c>
      <c r="E6" s="394">
        <v>50</v>
      </c>
      <c r="F6" s="351" t="s">
        <v>297</v>
      </c>
      <c r="G6" s="352">
        <v>12</v>
      </c>
      <c r="H6" s="353">
        <v>0.432</v>
      </c>
      <c r="I6" s="352">
        <v>16</v>
      </c>
      <c r="J6" s="354">
        <v>6.9119999999999999</v>
      </c>
      <c r="K6" s="355">
        <v>76.031999999999996</v>
      </c>
      <c r="L6" s="353">
        <v>103.68</v>
      </c>
      <c r="M6" s="356">
        <f>N6*H6</f>
        <v>599.61599999999999</v>
      </c>
      <c r="N6" s="617">
        <f>N5</f>
        <v>1388</v>
      </c>
      <c r="O6" s="357">
        <f>N6*E6/1000</f>
        <v>69.400000000000006</v>
      </c>
      <c r="P6" s="1044" t="str">
        <f>INDEX('Доставка по областям'!$G$2:$G$90,'ИЗОБОКС Рязань'!$L$1)</f>
        <v>Завод 'ТЕХНО' г.Рязань</v>
      </c>
      <c r="Q6" s="1044"/>
      <c r="R6" s="1044"/>
      <c r="S6" s="1044"/>
      <c r="T6" s="1044"/>
      <c r="U6" s="1044"/>
    </row>
    <row r="7" spans="1:21" ht="15" customHeight="1" x14ac:dyDescent="0.2">
      <c r="A7" s="347"/>
      <c r="B7" s="671">
        <v>404303</v>
      </c>
      <c r="C7" s="349">
        <v>1200</v>
      </c>
      <c r="D7" s="350">
        <v>600</v>
      </c>
      <c r="E7" s="394">
        <v>50</v>
      </c>
      <c r="F7" s="351" t="s">
        <v>297</v>
      </c>
      <c r="G7" s="352">
        <v>12</v>
      </c>
      <c r="H7" s="353">
        <v>0.432</v>
      </c>
      <c r="I7" s="352">
        <v>24</v>
      </c>
      <c r="J7" s="354">
        <f>H7*I7</f>
        <v>10.368</v>
      </c>
      <c r="K7" s="355">
        <f>J7*11</f>
        <v>114.048</v>
      </c>
      <c r="L7" s="353"/>
      <c r="M7" s="356">
        <f>N7*H7</f>
        <v>614.30399999999997</v>
      </c>
      <c r="N7" s="670">
        <v>1422</v>
      </c>
      <c r="O7" s="357">
        <f t="shared" ref="O7:O41" si="0">N7*E7/1000</f>
        <v>71.099999999999994</v>
      </c>
      <c r="P7" s="1045"/>
      <c r="Q7" s="1045"/>
      <c r="R7" s="1045"/>
      <c r="S7" s="1045"/>
      <c r="U7" s="1112" t="e">
        <f>INDEX('Доставка по областям'!$J$2:$J$53,VLOOKUP(ИзобоксDDP!A3,'Доставка по областям'!$A$2:$F$90,6,0))</f>
        <v>#N/A</v>
      </c>
    </row>
    <row r="8" spans="1:21" ht="15" customHeight="1" x14ac:dyDescent="0.2">
      <c r="A8" s="794"/>
      <c r="B8" s="856">
        <v>334999</v>
      </c>
      <c r="C8" s="358">
        <v>1200</v>
      </c>
      <c r="D8" s="359">
        <v>600</v>
      </c>
      <c r="E8" s="394">
        <v>100</v>
      </c>
      <c r="F8" s="351"/>
      <c r="G8" s="360"/>
      <c r="H8" s="361"/>
      <c r="I8" s="362"/>
      <c r="J8" s="363"/>
      <c r="K8" s="364">
        <v>95.04</v>
      </c>
      <c r="L8" s="353">
        <v>103.68</v>
      </c>
      <c r="M8" s="356">
        <f t="shared" ref="M8" si="1">N8*H8</f>
        <v>0</v>
      </c>
      <c r="N8" s="346">
        <v>1575</v>
      </c>
      <c r="O8" s="357">
        <f t="shared" ref="O8" si="2">N8*E8/1000</f>
        <v>157.5</v>
      </c>
      <c r="S8" s="1113" t="s">
        <v>428</v>
      </c>
      <c r="U8" s="1105">
        <f>IF($U$2&lt;4,SUMIFS(РегСкидка!$C$3:$C$619,РегСкидка!$D$3:$D$619,$P$6,РегСкидка!$B$3:$B$619,S8,РегСкидка!$E$3:$E$619,$U$7)/100*IF(OR($U$3=1, $U$3=2,$U$3=3,$U$3=4),1,0),0)</f>
        <v>0</v>
      </c>
    </row>
    <row r="9" spans="1:21" ht="15" customHeight="1" x14ac:dyDescent="0.2">
      <c r="A9" s="1310" t="s">
        <v>31</v>
      </c>
      <c r="B9" s="601" t="s">
        <v>299</v>
      </c>
      <c r="C9" s="358">
        <v>1200</v>
      </c>
      <c r="D9" s="359">
        <v>600</v>
      </c>
      <c r="E9" s="394">
        <v>100</v>
      </c>
      <c r="F9" s="351" t="s">
        <v>297</v>
      </c>
      <c r="G9" s="360">
        <v>6</v>
      </c>
      <c r="H9" s="361">
        <v>0.432</v>
      </c>
      <c r="I9" s="362">
        <v>16</v>
      </c>
      <c r="J9" s="363">
        <v>6.9119999999999999</v>
      </c>
      <c r="K9" s="364">
        <v>76.031999999999996</v>
      </c>
      <c r="L9" s="353">
        <v>103.68</v>
      </c>
      <c r="M9" s="356">
        <f t="shared" ref="M9:M75" si="3">N9*H9</f>
        <v>599.61599999999999</v>
      </c>
      <c r="N9" s="617">
        <f>N6</f>
        <v>1388</v>
      </c>
      <c r="O9" s="357">
        <f t="shared" si="0"/>
        <v>138.80000000000001</v>
      </c>
      <c r="S9" s="1113" t="s">
        <v>428</v>
      </c>
      <c r="U9" s="1105">
        <f>IF($U$2&lt;4,SUMIFS(РегСкидка!$C$3:$C$619,РегСкидка!$D$3:$D$619,$P$6,РегСкидка!$B$3:$B$619,S9,РегСкидка!$E$3:$E$619,$U$7)/100*IF(OR($U$3=1, $U$3=2,$U$3=3,$U$3=4),1,0),0)</f>
        <v>0</v>
      </c>
    </row>
    <row r="10" spans="1:21" ht="15" customHeight="1" thickBot="1" x14ac:dyDescent="0.25">
      <c r="A10" s="1311"/>
      <c r="B10" s="365"/>
      <c r="C10" s="366">
        <v>1200</v>
      </c>
      <c r="D10" s="367">
        <v>600</v>
      </c>
      <c r="E10" s="423">
        <v>150</v>
      </c>
      <c r="F10" s="368" t="s">
        <v>46</v>
      </c>
      <c r="G10" s="369">
        <v>4</v>
      </c>
      <c r="H10" s="370">
        <v>0.432</v>
      </c>
      <c r="I10" s="371">
        <v>24</v>
      </c>
      <c r="J10" s="372">
        <v>8.64</v>
      </c>
      <c r="K10" s="373">
        <v>95.04</v>
      </c>
      <c r="L10" s="374">
        <v>103.68</v>
      </c>
      <c r="M10" s="426">
        <f t="shared" si="3"/>
        <v>680.4</v>
      </c>
      <c r="N10" s="375">
        <f>N8</f>
        <v>1575</v>
      </c>
      <c r="O10" s="515">
        <f t="shared" si="0"/>
        <v>236.25</v>
      </c>
      <c r="S10" s="1113" t="s">
        <v>428</v>
      </c>
      <c r="U10" s="1105">
        <f>IF($U$2&lt;4,SUMIFS(РегСкидка!$C$3:$C$619,РегСкидка!$D$3:$D$619,$P$6,РегСкидка!$B$3:$B$619,S10,РегСкидка!$E$3:$E$619,$U$7)/100*IF(OR($U$3=1, $U$3=2,$U$3=3,$U$3=4),1,0),0)</f>
        <v>0</v>
      </c>
    </row>
    <row r="11" spans="1:21" ht="15" customHeight="1" x14ac:dyDescent="0.2">
      <c r="A11" s="376" t="s">
        <v>284</v>
      </c>
      <c r="B11" s="338" t="s">
        <v>300</v>
      </c>
      <c r="C11" s="339">
        <v>1200</v>
      </c>
      <c r="D11" s="340">
        <v>600</v>
      </c>
      <c r="E11" s="535">
        <v>50</v>
      </c>
      <c r="F11" s="341" t="s">
        <v>297</v>
      </c>
      <c r="G11" s="342">
        <v>12</v>
      </c>
      <c r="H11" s="343">
        <v>0.432</v>
      </c>
      <c r="I11" s="342">
        <v>16</v>
      </c>
      <c r="J11" s="377">
        <v>6.9119999999999999</v>
      </c>
      <c r="K11" s="345">
        <v>76.03</v>
      </c>
      <c r="L11" s="343"/>
      <c r="M11" s="356">
        <f t="shared" si="3"/>
        <v>744.76800000000003</v>
      </c>
      <c r="N11" s="459">
        <v>1724</v>
      </c>
      <c r="O11" s="357">
        <f t="shared" si="0"/>
        <v>86.2</v>
      </c>
      <c r="S11" s="1113" t="s">
        <v>428</v>
      </c>
      <c r="U11" s="1105">
        <f>IF($U$2&lt;4,SUMIFS(РегСкидка!$C$3:$C$619,РегСкидка!$D$3:$D$619,$P$6,РегСкидка!$B$3:$B$619,S11,РегСкидка!$E$3:$E$619,$U$7)/100*IF(OR($U$3=1, $U$3=2,$U$3=3,$U$3=4),1,0),0)</f>
        <v>0</v>
      </c>
    </row>
    <row r="12" spans="1:21" ht="15" hidden="1" customHeight="1" x14ac:dyDescent="0.2">
      <c r="A12" s="347" t="s">
        <v>301</v>
      </c>
      <c r="B12" s="348">
        <v>67104</v>
      </c>
      <c r="C12" s="358">
        <v>1200</v>
      </c>
      <c r="D12" s="359">
        <v>600</v>
      </c>
      <c r="E12" s="394">
        <v>50</v>
      </c>
      <c r="F12" s="378" t="s">
        <v>297</v>
      </c>
      <c r="G12" s="379">
        <v>12</v>
      </c>
      <c r="H12" s="361">
        <v>0.432</v>
      </c>
      <c r="I12" s="379">
        <v>20</v>
      </c>
      <c r="J12" s="380">
        <v>8.64</v>
      </c>
      <c r="K12" s="381">
        <v>95.04</v>
      </c>
      <c r="L12" s="361"/>
      <c r="M12" s="356">
        <f>N12*H12</f>
        <v>720.57600000000002</v>
      </c>
      <c r="N12" s="346">
        <v>1668</v>
      </c>
      <c r="O12" s="357">
        <f>N12*E12/1000</f>
        <v>83.4</v>
      </c>
      <c r="S12" s="1113" t="s">
        <v>428</v>
      </c>
      <c r="U12" s="1105">
        <f>IF($U$2&lt;4,SUMIFS(РегСкидка!$C$3:$C$619,РегСкидка!$D$3:$D$619,$P$6,РегСкидка!$B$3:$B$619,S12,РегСкидка!$E$3:$E$619,$U$7)/100*IF(OR($U$3=1, $U$3=2,$U$3=3,$U$3=4),1,0),0)</f>
        <v>0</v>
      </c>
    </row>
    <row r="13" spans="1:21" ht="15" customHeight="1" x14ac:dyDescent="0.2">
      <c r="A13" s="347" t="s">
        <v>301</v>
      </c>
      <c r="B13" s="348" t="s">
        <v>302</v>
      </c>
      <c r="C13" s="358">
        <v>1200</v>
      </c>
      <c r="D13" s="359">
        <v>600</v>
      </c>
      <c r="E13" s="394">
        <v>60</v>
      </c>
      <c r="F13" s="378" t="s">
        <v>297</v>
      </c>
      <c r="G13" s="379">
        <v>9</v>
      </c>
      <c r="H13" s="361">
        <v>0.38880000000000003</v>
      </c>
      <c r="I13" s="379">
        <v>16</v>
      </c>
      <c r="J13" s="380">
        <v>6.2208000000000006</v>
      </c>
      <c r="K13" s="381">
        <v>68.42880000000001</v>
      </c>
      <c r="L13" s="361"/>
      <c r="M13" s="356">
        <f t="shared" si="3"/>
        <v>670.2912</v>
      </c>
      <c r="N13" s="346">
        <f>N11</f>
        <v>1724</v>
      </c>
      <c r="O13" s="357">
        <f t="shared" si="0"/>
        <v>103.44</v>
      </c>
      <c r="S13" s="1113" t="s">
        <v>428</v>
      </c>
      <c r="U13" s="1105">
        <f>IF($U$2&lt;4,SUMIFS(РегСкидка!$C$3:$C$619,РегСкидка!$D$3:$D$619,$P$6,РегСкидка!$B$3:$B$619,S13,РегСкидка!$E$3:$E$619,$U$7)/100*IF(OR($U$3=1, $U$3=2,$U$3=3,$U$3=4),1,0),0)</f>
        <v>0</v>
      </c>
    </row>
    <row r="14" spans="1:21" ht="15" customHeight="1" x14ac:dyDescent="0.2">
      <c r="A14" s="1314" t="s">
        <v>31</v>
      </c>
      <c r="B14" s="382"/>
      <c r="C14" s="358">
        <v>1200</v>
      </c>
      <c r="D14" s="359">
        <v>600</v>
      </c>
      <c r="E14" s="394">
        <v>70</v>
      </c>
      <c r="F14" s="378" t="s">
        <v>297</v>
      </c>
      <c r="G14" s="379">
        <v>8</v>
      </c>
      <c r="H14" s="361">
        <v>0.4536</v>
      </c>
      <c r="I14" s="379">
        <v>16</v>
      </c>
      <c r="J14" s="380">
        <v>6.4512</v>
      </c>
      <c r="K14" s="381">
        <v>70.963200000000001</v>
      </c>
      <c r="L14" s="361"/>
      <c r="M14" s="356">
        <f t="shared" si="3"/>
        <v>782.00639999999999</v>
      </c>
      <c r="N14" s="346">
        <f>N13</f>
        <v>1724</v>
      </c>
      <c r="O14" s="357">
        <f t="shared" si="0"/>
        <v>120.68</v>
      </c>
      <c r="S14" s="1113" t="s">
        <v>428</v>
      </c>
      <c r="U14" s="1105">
        <f>IF($U$2&lt;4,SUMIFS(РегСкидка!$C$3:$C$619,РегСкидка!$D$3:$D$619,$P$6,РегСкидка!$B$3:$B$619,S14,РегСкидка!$E$3:$E$619,$U$7)/100*IF(OR($U$3=1, $U$3=2,$U$3=3,$U$3=4),1,0),0)</f>
        <v>0</v>
      </c>
    </row>
    <row r="15" spans="1:21" ht="15" customHeight="1" x14ac:dyDescent="0.2">
      <c r="A15" s="1314"/>
      <c r="B15" s="382"/>
      <c r="C15" s="358">
        <v>1200</v>
      </c>
      <c r="D15" s="359">
        <v>600</v>
      </c>
      <c r="E15" s="394">
        <v>80</v>
      </c>
      <c r="F15" s="378" t="s">
        <v>297</v>
      </c>
      <c r="G15" s="379">
        <v>6</v>
      </c>
      <c r="H15" s="361">
        <v>0.34560000000000002</v>
      </c>
      <c r="I15" s="379">
        <v>20</v>
      </c>
      <c r="J15" s="380">
        <v>6.9120000000000008</v>
      </c>
      <c r="K15" s="381">
        <v>76.032000000000011</v>
      </c>
      <c r="L15" s="361"/>
      <c r="M15" s="356">
        <f t="shared" si="3"/>
        <v>595.81439999999998</v>
      </c>
      <c r="N15" s="346">
        <f t="shared" ref="N15:N27" si="4">N13</f>
        <v>1724</v>
      </c>
      <c r="O15" s="357">
        <f t="shared" si="0"/>
        <v>137.91999999999999</v>
      </c>
      <c r="S15" s="1113" t="s">
        <v>428</v>
      </c>
      <c r="U15" s="1105">
        <f>IF($U$2&lt;4,SUMIFS(РегСкидка!$C$3:$C$619,РегСкидка!$D$3:$D$619,$P$6,РегСкидка!$B$3:$B$619,S15,РегСкидка!$E$3:$E$619,$U$7)/100*IF(OR($U$3=1, $U$3=2,$U$3=3,$U$3=4),1,0),0)</f>
        <v>0</v>
      </c>
    </row>
    <row r="16" spans="1:21" ht="15" customHeight="1" x14ac:dyDescent="0.2">
      <c r="A16" s="1314"/>
      <c r="B16" s="382"/>
      <c r="C16" s="358">
        <v>1200</v>
      </c>
      <c r="D16" s="359">
        <v>600</v>
      </c>
      <c r="E16" s="394">
        <v>90</v>
      </c>
      <c r="F16" s="378" t="s">
        <v>297</v>
      </c>
      <c r="G16" s="379">
        <v>6</v>
      </c>
      <c r="H16" s="361">
        <v>0.38880000000000003</v>
      </c>
      <c r="I16" s="379">
        <v>16</v>
      </c>
      <c r="J16" s="380">
        <v>6.2208000000000006</v>
      </c>
      <c r="K16" s="381">
        <v>68.42880000000001</v>
      </c>
      <c r="L16" s="361"/>
      <c r="M16" s="356">
        <f t="shared" si="3"/>
        <v>670.2912</v>
      </c>
      <c r="N16" s="346">
        <f t="shared" si="4"/>
        <v>1724</v>
      </c>
      <c r="O16" s="357">
        <f t="shared" si="0"/>
        <v>155.16</v>
      </c>
      <c r="S16" s="1113" t="s">
        <v>428</v>
      </c>
      <c r="U16" s="1105">
        <f>IF($U$2&lt;4,SUMIFS(РегСкидка!$C$3:$C$619,РегСкидка!$D$3:$D$619,$P$6,РегСкидка!$B$3:$B$619,S16,РегСкидка!$E$3:$E$619,$U$7)/100*IF(OR($U$3=1, $U$3=2,$U$3=3,$U$3=4),1,0),0)</f>
        <v>0</v>
      </c>
    </row>
    <row r="17" spans="1:21" ht="15" customHeight="1" x14ac:dyDescent="0.2">
      <c r="A17" s="1314"/>
      <c r="B17" s="348" t="s">
        <v>303</v>
      </c>
      <c r="C17" s="358">
        <v>1200</v>
      </c>
      <c r="D17" s="359">
        <v>600</v>
      </c>
      <c r="E17" s="394">
        <v>100</v>
      </c>
      <c r="F17" s="378" t="s">
        <v>297</v>
      </c>
      <c r="G17" s="379">
        <v>6</v>
      </c>
      <c r="H17" s="361">
        <v>0.432</v>
      </c>
      <c r="I17" s="379">
        <v>20</v>
      </c>
      <c r="J17" s="380">
        <v>8.64</v>
      </c>
      <c r="K17" s="381">
        <v>95.04</v>
      </c>
      <c r="L17" s="361"/>
      <c r="M17" s="356">
        <f t="shared" si="3"/>
        <v>744.76800000000003</v>
      </c>
      <c r="N17" s="346">
        <f t="shared" si="4"/>
        <v>1724</v>
      </c>
      <c r="O17" s="357">
        <f t="shared" si="0"/>
        <v>172.4</v>
      </c>
      <c r="S17" s="1113" t="s">
        <v>428</v>
      </c>
      <c r="U17" s="1105">
        <f>IF($U$2&lt;4,SUMIFS(РегСкидка!$C$3:$C$619,РегСкидка!$D$3:$D$619,$P$6,РегСкидка!$B$3:$B$619,S17,РегСкидка!$E$3:$E$619,$U$7)/100*IF(OR($U$3=1, $U$3=2,$U$3=3,$U$3=4),1,0),0)</f>
        <v>0</v>
      </c>
    </row>
    <row r="18" spans="1:21" ht="15" customHeight="1" x14ac:dyDescent="0.2">
      <c r="A18" s="1314"/>
      <c r="B18" s="382"/>
      <c r="C18" s="358">
        <v>1200</v>
      </c>
      <c r="D18" s="359">
        <v>600</v>
      </c>
      <c r="E18" s="394">
        <v>110</v>
      </c>
      <c r="F18" s="378" t="s">
        <v>297</v>
      </c>
      <c r="G18" s="379">
        <v>5</v>
      </c>
      <c r="H18" s="361">
        <v>0.39600000000000002</v>
      </c>
      <c r="I18" s="379">
        <v>16</v>
      </c>
      <c r="J18" s="380">
        <v>6.3360000000000003</v>
      </c>
      <c r="K18" s="381">
        <v>69.695999999999998</v>
      </c>
      <c r="L18" s="361"/>
      <c r="M18" s="356">
        <f t="shared" si="3"/>
        <v>682.70400000000006</v>
      </c>
      <c r="N18" s="346">
        <f t="shared" si="4"/>
        <v>1724</v>
      </c>
      <c r="O18" s="357">
        <f t="shared" si="0"/>
        <v>189.64</v>
      </c>
      <c r="S18" s="1113" t="s">
        <v>428</v>
      </c>
      <c r="U18" s="1105">
        <f>IF($U$2&lt;4,SUMIFS(РегСкидка!$C$3:$C$619,РегСкидка!$D$3:$D$619,$P$6,РегСкидка!$B$3:$B$619,S18,РегСкидка!$E$3:$E$619,$U$7)/100*IF(OR($U$3=1, $U$3=2,$U$3=3,$U$3=4),1,0),0)</f>
        <v>0</v>
      </c>
    </row>
    <row r="19" spans="1:21" ht="15" customHeight="1" x14ac:dyDescent="0.2">
      <c r="A19" s="1314"/>
      <c r="B19" s="382"/>
      <c r="C19" s="358">
        <v>1200</v>
      </c>
      <c r="D19" s="359">
        <v>600</v>
      </c>
      <c r="E19" s="394">
        <v>120</v>
      </c>
      <c r="F19" s="378" t="s">
        <v>297</v>
      </c>
      <c r="G19" s="379">
        <v>5</v>
      </c>
      <c r="H19" s="361">
        <v>0.432</v>
      </c>
      <c r="I19" s="379">
        <v>16</v>
      </c>
      <c r="J19" s="380">
        <v>6.9119999999999999</v>
      </c>
      <c r="K19" s="381">
        <v>76.031999999999996</v>
      </c>
      <c r="L19" s="361"/>
      <c r="M19" s="356">
        <f t="shared" si="3"/>
        <v>744.76800000000003</v>
      </c>
      <c r="N19" s="346">
        <f t="shared" si="4"/>
        <v>1724</v>
      </c>
      <c r="O19" s="357">
        <f t="shared" si="0"/>
        <v>206.88</v>
      </c>
      <c r="S19" s="1113" t="s">
        <v>428</v>
      </c>
      <c r="U19" s="1105">
        <f>IF($U$2&lt;4,SUMIFS(РегСкидка!$C$3:$C$619,РегСкидка!$D$3:$D$619,$P$6,РегСкидка!$B$3:$B$619,S19,РегСкидка!$E$3:$E$619,$U$7)/100*IF(OR($U$3=1, $U$3=2,$U$3=3,$U$3=4),1,0),0)</f>
        <v>0</v>
      </c>
    </row>
    <row r="20" spans="1:21" ht="15" customHeight="1" x14ac:dyDescent="0.2">
      <c r="A20" s="1314"/>
      <c r="B20" s="1055">
        <v>419965</v>
      </c>
      <c r="C20" s="358">
        <v>1200</v>
      </c>
      <c r="D20" s="359">
        <v>600</v>
      </c>
      <c r="E20" s="394">
        <v>130</v>
      </c>
      <c r="F20" s="378" t="s">
        <v>297</v>
      </c>
      <c r="G20" s="1053">
        <v>3</v>
      </c>
      <c r="H20" s="361">
        <v>0.28079999999999999</v>
      </c>
      <c r="I20" s="379">
        <v>24</v>
      </c>
      <c r="J20" s="396">
        <v>6.7392000000000003</v>
      </c>
      <c r="K20" s="1057">
        <v>74.131200000000007</v>
      </c>
      <c r="L20" s="361"/>
      <c r="M20" s="356">
        <f t="shared" si="3"/>
        <v>484.0992</v>
      </c>
      <c r="N20" s="346">
        <f t="shared" si="4"/>
        <v>1724</v>
      </c>
      <c r="O20" s="357">
        <f t="shared" si="0"/>
        <v>224.12</v>
      </c>
      <c r="S20" s="1113" t="s">
        <v>428</v>
      </c>
      <c r="U20" s="1105">
        <f>IF($U$2&lt;4,SUMIFS(РегСкидка!$C$3:$C$619,РегСкидка!$D$3:$D$619,$P$6,РегСкидка!$B$3:$B$619,S20,РегСкидка!$E$3:$E$619,$U$7)/100*IF(OR($U$3=1, $U$3=2,$U$3=3,$U$3=4),1,0),0)</f>
        <v>0</v>
      </c>
    </row>
    <row r="21" spans="1:21" ht="15" customHeight="1" x14ac:dyDescent="0.2">
      <c r="A21" s="1314"/>
      <c r="B21" s="382"/>
      <c r="C21" s="358">
        <v>1200</v>
      </c>
      <c r="D21" s="359">
        <v>600</v>
      </c>
      <c r="E21" s="394">
        <v>140</v>
      </c>
      <c r="F21" s="378" t="s">
        <v>297</v>
      </c>
      <c r="G21" s="379">
        <v>4</v>
      </c>
      <c r="H21" s="361">
        <v>0.4032</v>
      </c>
      <c r="I21" s="379">
        <v>16</v>
      </c>
      <c r="J21" s="380">
        <v>6.4512</v>
      </c>
      <c r="K21" s="381">
        <v>70.963200000000001</v>
      </c>
      <c r="L21" s="361"/>
      <c r="M21" s="356">
        <f t="shared" si="3"/>
        <v>695.11680000000001</v>
      </c>
      <c r="N21" s="346">
        <f t="shared" si="4"/>
        <v>1724</v>
      </c>
      <c r="O21" s="357">
        <f t="shared" si="0"/>
        <v>241.36</v>
      </c>
      <c r="S21" s="1113" t="s">
        <v>428</v>
      </c>
      <c r="U21" s="1105">
        <f>IF($U$2&lt;4,SUMIFS(РегСкидка!$C$3:$C$619,РегСкидка!$D$3:$D$619,$P$6,РегСкидка!$B$3:$B$619,S21,РегСкидка!$E$3:$E$619,$U$7)/100*IF(OR($U$3=1, $U$3=2,$U$3=3,$U$3=4),1,0),0)</f>
        <v>0</v>
      </c>
    </row>
    <row r="22" spans="1:21" ht="15" customHeight="1" x14ac:dyDescent="0.2">
      <c r="A22" s="1314"/>
      <c r="B22" s="382"/>
      <c r="C22" s="358">
        <v>1200</v>
      </c>
      <c r="D22" s="359">
        <v>600</v>
      </c>
      <c r="E22" s="394">
        <v>150</v>
      </c>
      <c r="F22" s="378" t="s">
        <v>297</v>
      </c>
      <c r="G22" s="379">
        <v>4</v>
      </c>
      <c r="H22" s="361">
        <v>0.432</v>
      </c>
      <c r="I22" s="379">
        <v>16</v>
      </c>
      <c r="J22" s="380">
        <v>6.9119999999999999</v>
      </c>
      <c r="K22" s="381">
        <v>76.031999999999996</v>
      </c>
      <c r="L22" s="361"/>
      <c r="M22" s="356">
        <f t="shared" si="3"/>
        <v>744.76800000000003</v>
      </c>
      <c r="N22" s="346">
        <f t="shared" si="4"/>
        <v>1724</v>
      </c>
      <c r="O22" s="357">
        <f t="shared" si="0"/>
        <v>258.60000000000002</v>
      </c>
      <c r="S22" s="1113" t="s">
        <v>428</v>
      </c>
      <c r="U22" s="1105">
        <f>IF($U$2&lt;4,SUMIFS(РегСкидка!$C$3:$C$619,РегСкидка!$D$3:$D$619,$P$6,РегСкидка!$B$3:$B$619,S22,РегСкидка!$E$3:$E$619,$U$7)/100*IF(OR($U$3=1, $U$3=2,$U$3=3,$U$3=4),1,0),0)</f>
        <v>0</v>
      </c>
    </row>
    <row r="23" spans="1:21" ht="15" customHeight="1" x14ac:dyDescent="0.2">
      <c r="A23" s="1314"/>
      <c r="B23" s="382"/>
      <c r="C23" s="358">
        <v>1200</v>
      </c>
      <c r="D23" s="359">
        <v>600</v>
      </c>
      <c r="E23" s="394">
        <v>160</v>
      </c>
      <c r="F23" s="378" t="s">
        <v>297</v>
      </c>
      <c r="G23" s="379">
        <v>3</v>
      </c>
      <c r="H23" s="361">
        <v>0.34560000000000002</v>
      </c>
      <c r="I23" s="379">
        <v>20</v>
      </c>
      <c r="J23" s="380">
        <v>6.9120000000000008</v>
      </c>
      <c r="K23" s="381">
        <v>76.032000000000011</v>
      </c>
      <c r="L23" s="361"/>
      <c r="M23" s="356">
        <f t="shared" si="3"/>
        <v>595.81439999999998</v>
      </c>
      <c r="N23" s="346">
        <f t="shared" si="4"/>
        <v>1724</v>
      </c>
      <c r="O23" s="357">
        <f t="shared" si="0"/>
        <v>275.83999999999997</v>
      </c>
      <c r="S23" s="1113" t="s">
        <v>428</v>
      </c>
      <c r="U23" s="1105">
        <f>IF($U$2&lt;4,SUMIFS(РегСкидка!$C$3:$C$619,РегСкидка!$D$3:$D$619,$P$6,РегСкидка!$B$3:$B$619,S23,РегСкидка!$E$3:$E$619,$U$7)/100*IF(OR($U$3=1, $U$3=2,$U$3=3,$U$3=4),1,0),0)</f>
        <v>0</v>
      </c>
    </row>
    <row r="24" spans="1:21" ht="15" customHeight="1" x14ac:dyDescent="0.2">
      <c r="A24" s="1314"/>
      <c r="B24" s="382"/>
      <c r="C24" s="358">
        <v>1200</v>
      </c>
      <c r="D24" s="359">
        <v>600</v>
      </c>
      <c r="E24" s="394">
        <v>170</v>
      </c>
      <c r="F24" s="378" t="s">
        <v>297</v>
      </c>
      <c r="G24" s="379">
        <v>3</v>
      </c>
      <c r="H24" s="361">
        <v>0.36720000000000003</v>
      </c>
      <c r="I24" s="379">
        <v>16</v>
      </c>
      <c r="J24" s="380">
        <v>5.8752000000000004</v>
      </c>
      <c r="K24" s="381">
        <v>64.627200000000002</v>
      </c>
      <c r="L24" s="361"/>
      <c r="M24" s="356">
        <f t="shared" si="3"/>
        <v>633.05280000000005</v>
      </c>
      <c r="N24" s="346">
        <f t="shared" si="4"/>
        <v>1724</v>
      </c>
      <c r="O24" s="357">
        <f t="shared" si="0"/>
        <v>293.08</v>
      </c>
      <c r="S24" s="1113" t="s">
        <v>428</v>
      </c>
      <c r="U24" s="1105">
        <f>IF($U$2&lt;4,SUMIFS(РегСкидка!$C$3:$C$619,РегСкидка!$D$3:$D$619,$P$6,РегСкидка!$B$3:$B$619,S24,РегСкидка!$E$3:$E$619,$U$7)/100*IF(OR($U$3=1, $U$3=2,$U$3=3,$U$3=4),1,0),0)</f>
        <v>0</v>
      </c>
    </row>
    <row r="25" spans="1:21" ht="15" customHeight="1" x14ac:dyDescent="0.2">
      <c r="A25" s="1314"/>
      <c r="B25" s="382"/>
      <c r="C25" s="358">
        <v>1200</v>
      </c>
      <c r="D25" s="359">
        <v>600</v>
      </c>
      <c r="E25" s="394">
        <v>180</v>
      </c>
      <c r="F25" s="378" t="s">
        <v>297</v>
      </c>
      <c r="G25" s="379">
        <v>3</v>
      </c>
      <c r="H25" s="361">
        <v>0.38880000000000003</v>
      </c>
      <c r="I25" s="379">
        <v>16</v>
      </c>
      <c r="J25" s="380">
        <v>6.2208000000000006</v>
      </c>
      <c r="K25" s="381">
        <v>68.42880000000001</v>
      </c>
      <c r="L25" s="361"/>
      <c r="M25" s="356">
        <f t="shared" si="3"/>
        <v>670.2912</v>
      </c>
      <c r="N25" s="346">
        <f t="shared" si="4"/>
        <v>1724</v>
      </c>
      <c r="O25" s="357">
        <f t="shared" si="0"/>
        <v>310.32</v>
      </c>
      <c r="S25" s="1113" t="s">
        <v>428</v>
      </c>
      <c r="U25" s="1105">
        <f>IF($U$2&lt;4,SUMIFS(РегСкидка!$C$3:$C$619,РегСкидка!$D$3:$D$619,$P$6,РегСкидка!$B$3:$B$619,S25,РегСкидка!$E$3:$E$619,$U$7)/100*IF(OR($U$3=1, $U$3=2,$U$3=3,$U$3=4),1,0),0)</f>
        <v>0</v>
      </c>
    </row>
    <row r="26" spans="1:21" ht="15" customHeight="1" x14ac:dyDescent="0.2">
      <c r="A26" s="1314"/>
      <c r="B26" s="382"/>
      <c r="C26" s="358">
        <v>1200</v>
      </c>
      <c r="D26" s="359">
        <v>600</v>
      </c>
      <c r="E26" s="394">
        <v>190</v>
      </c>
      <c r="F26" s="378" t="s">
        <v>297</v>
      </c>
      <c r="G26" s="379">
        <v>3</v>
      </c>
      <c r="H26" s="361">
        <v>0.41040000000000004</v>
      </c>
      <c r="I26" s="379">
        <v>16</v>
      </c>
      <c r="J26" s="380">
        <v>6.5664000000000007</v>
      </c>
      <c r="K26" s="381">
        <v>72.230400000000003</v>
      </c>
      <c r="L26" s="361"/>
      <c r="M26" s="356">
        <f t="shared" si="3"/>
        <v>707.52960000000007</v>
      </c>
      <c r="N26" s="346">
        <f t="shared" si="4"/>
        <v>1724</v>
      </c>
      <c r="O26" s="357">
        <f t="shared" si="0"/>
        <v>327.56</v>
      </c>
      <c r="S26" s="1113" t="s">
        <v>428</v>
      </c>
      <c r="U26" s="1105">
        <f>IF($U$2&lt;4,SUMIFS(РегСкидка!$C$3:$C$619,РегСкидка!$D$3:$D$619,$P$6,РегСкидка!$B$3:$B$619,S26,РегСкидка!$E$3:$E$619,$U$7)/100*IF(OR($U$3=1, $U$3=2,$U$3=3,$U$3=4),1,0),0)</f>
        <v>0</v>
      </c>
    </row>
    <row r="27" spans="1:21" ht="15" customHeight="1" thickBot="1" x14ac:dyDescent="0.25">
      <c r="A27" s="1314"/>
      <c r="B27" s="383"/>
      <c r="C27" s="384">
        <v>1200</v>
      </c>
      <c r="D27" s="385">
        <v>600</v>
      </c>
      <c r="E27" s="394">
        <v>200</v>
      </c>
      <c r="F27" s="386" t="s">
        <v>297</v>
      </c>
      <c r="G27" s="387">
        <v>3</v>
      </c>
      <c r="H27" s="388">
        <v>0.432</v>
      </c>
      <c r="I27" s="387">
        <v>16</v>
      </c>
      <c r="J27" s="389">
        <v>6.9119999999999999</v>
      </c>
      <c r="K27" s="373">
        <v>76.031999999999996</v>
      </c>
      <c r="L27" s="388"/>
      <c r="M27" s="426">
        <f t="shared" si="3"/>
        <v>744.76800000000003</v>
      </c>
      <c r="N27" s="346">
        <f t="shared" si="4"/>
        <v>1724</v>
      </c>
      <c r="O27" s="515">
        <f t="shared" si="0"/>
        <v>344.8</v>
      </c>
      <c r="S27" s="1113" t="s">
        <v>428</v>
      </c>
      <c r="U27" s="1105">
        <f>IF($U$2&lt;4,SUMIFS(РегСкидка!$C$3:$C$619,РегСкидка!$D$3:$D$619,$P$6,РегСкидка!$B$3:$B$619,S27,РегСкидка!$E$3:$E$619,$U$7)/100*IF(OR($U$3=1, $U$3=2,$U$3=3,$U$3=4),1,0),0)</f>
        <v>0</v>
      </c>
    </row>
    <row r="28" spans="1:21" ht="15" customHeight="1" x14ac:dyDescent="0.2">
      <c r="A28" s="390" t="s">
        <v>283</v>
      </c>
      <c r="B28" s="391" t="s">
        <v>304</v>
      </c>
      <c r="C28" s="339">
        <v>1200</v>
      </c>
      <c r="D28" s="340">
        <v>600</v>
      </c>
      <c r="E28" s="392">
        <v>50</v>
      </c>
      <c r="F28" s="341" t="s">
        <v>297</v>
      </c>
      <c r="G28" s="342">
        <v>12</v>
      </c>
      <c r="H28" s="344">
        <v>0.432</v>
      </c>
      <c r="I28" s="342">
        <v>20</v>
      </c>
      <c r="J28" s="344">
        <v>6.9119999999999999</v>
      </c>
      <c r="K28" s="381">
        <v>76.031999999999996</v>
      </c>
      <c r="L28" s="343"/>
      <c r="M28" s="356">
        <f t="shared" si="3"/>
        <v>844.99199999999996</v>
      </c>
      <c r="N28" s="459">
        <v>1956</v>
      </c>
      <c r="O28" s="357">
        <f t="shared" si="0"/>
        <v>97.8</v>
      </c>
      <c r="S28" s="1113" t="s">
        <v>428</v>
      </c>
      <c r="U28" s="1105">
        <f>IF($U$2&lt;4,SUMIFS(РегСкидка!$C$3:$C$619,РегСкидка!$D$3:$D$619,$P$6,РегСкидка!$B$3:$B$619,S28,РегСкидка!$E$3:$E$619,$U$7)/100*IF(OR($U$3=1, $U$3=2,$U$3=3,$U$3=4),1,0),0)</f>
        <v>0</v>
      </c>
    </row>
    <row r="29" spans="1:21" ht="15" hidden="1" customHeight="1" x14ac:dyDescent="0.2">
      <c r="A29" s="393" t="s">
        <v>305</v>
      </c>
      <c r="B29" s="382">
        <v>368132</v>
      </c>
      <c r="C29" s="358">
        <v>1200</v>
      </c>
      <c r="D29" s="359">
        <v>600</v>
      </c>
      <c r="E29" s="394">
        <v>50</v>
      </c>
      <c r="F29" s="395" t="s">
        <v>46</v>
      </c>
      <c r="G29" s="379">
        <v>8</v>
      </c>
      <c r="H29" s="396">
        <v>0.28799999999999998</v>
      </c>
      <c r="I29" s="379">
        <v>28</v>
      </c>
      <c r="J29" s="396">
        <v>8.0640000000000001</v>
      </c>
      <c r="K29" s="381">
        <v>80.64</v>
      </c>
      <c r="L29" s="361"/>
      <c r="M29" s="356" t="e">
        <f t="shared" si="3"/>
        <v>#VALUE!</v>
      </c>
      <c r="N29" s="346" t="s">
        <v>528</v>
      </c>
      <c r="O29" s="357" t="e">
        <f t="shared" si="0"/>
        <v>#VALUE!</v>
      </c>
      <c r="S29" s="1113" t="s">
        <v>428</v>
      </c>
      <c r="U29" s="1105">
        <f>IF($U$2&lt;4,SUMIFS(РегСкидка!$C$3:$C$619,РегСкидка!$D$3:$D$619,$P$6,РегСкидка!$B$3:$B$619,S29,РегСкидка!$E$3:$E$619,$U$7)/100*IF(OR($U$3=1, $U$3=2,$U$3=3,$U$3=4),1,0),0)</f>
        <v>0</v>
      </c>
    </row>
    <row r="30" spans="1:21" ht="15" customHeight="1" x14ac:dyDescent="0.2">
      <c r="A30" s="393" t="s">
        <v>305</v>
      </c>
      <c r="B30" s="382"/>
      <c r="C30" s="358">
        <v>1200</v>
      </c>
      <c r="D30" s="359">
        <v>600</v>
      </c>
      <c r="E30" s="394">
        <v>60</v>
      </c>
      <c r="F30" s="395" t="s">
        <v>46</v>
      </c>
      <c r="G30" s="379">
        <v>10</v>
      </c>
      <c r="H30" s="396">
        <v>0.38879999999999998</v>
      </c>
      <c r="I30" s="379">
        <v>16</v>
      </c>
      <c r="J30" s="396">
        <v>6.9119999999999999</v>
      </c>
      <c r="K30" s="381">
        <v>76.031999999999996</v>
      </c>
      <c r="L30" s="361"/>
      <c r="M30" s="356">
        <f t="shared" si="3"/>
        <v>760.49279999999999</v>
      </c>
      <c r="N30" s="346">
        <f>N28</f>
        <v>1956</v>
      </c>
      <c r="O30" s="357">
        <f t="shared" si="0"/>
        <v>117.36</v>
      </c>
      <c r="S30" s="1113" t="s">
        <v>428</v>
      </c>
      <c r="U30" s="1105">
        <f>IF($U$2&lt;4,SUMIFS(РегСкидка!$C$3:$C$619,РегСкидка!$D$3:$D$619,$P$6,РегСкидка!$B$3:$B$619,S30,РегСкидка!$E$3:$E$619,$U$7)/100*IF(OR($U$3=1, $U$3=2,$U$3=3,$U$3=4),1,0),0)</f>
        <v>0</v>
      </c>
    </row>
    <row r="31" spans="1:21" ht="15" customHeight="1" x14ac:dyDescent="0.2">
      <c r="A31" s="1315" t="s">
        <v>26</v>
      </c>
      <c r="B31" s="382"/>
      <c r="C31" s="358">
        <v>1200</v>
      </c>
      <c r="D31" s="359">
        <v>600</v>
      </c>
      <c r="E31" s="394">
        <v>70</v>
      </c>
      <c r="F31" s="395" t="s">
        <v>46</v>
      </c>
      <c r="G31" s="379">
        <v>8</v>
      </c>
      <c r="H31" s="396">
        <v>0.3024</v>
      </c>
      <c r="I31" s="379">
        <v>16</v>
      </c>
      <c r="J31" s="396">
        <v>6.4512</v>
      </c>
      <c r="K31" s="381">
        <v>70.963200000000001</v>
      </c>
      <c r="L31" s="361"/>
      <c r="M31" s="356">
        <f t="shared" si="3"/>
        <v>591.49440000000004</v>
      </c>
      <c r="N31" s="346">
        <f t="shared" ref="N31:N45" si="5">N30</f>
        <v>1956</v>
      </c>
      <c r="O31" s="357">
        <f t="shared" si="0"/>
        <v>136.91999999999999</v>
      </c>
      <c r="S31" s="1113" t="s">
        <v>714</v>
      </c>
      <c r="U31" s="1105">
        <f>IF($U$2&lt;4,SUMIFS(РегСкидка!$C$3:$C$619,РегСкидка!$D$3:$D$619,$P$6,РегСкидка!$B$3:$B$619,S31,РегСкидка!$E$3:$E$619,$U$7)/100*IF(OR($U$3=1, $U$3=2,$U$3=3,$U$3=4),1,0),0)</f>
        <v>0</v>
      </c>
    </row>
    <row r="32" spans="1:21" ht="15" customHeight="1" x14ac:dyDescent="0.2">
      <c r="A32" s="1315"/>
      <c r="B32" s="382"/>
      <c r="C32" s="358">
        <v>1200</v>
      </c>
      <c r="D32" s="359">
        <v>600</v>
      </c>
      <c r="E32" s="394">
        <v>80</v>
      </c>
      <c r="F32" s="395" t="s">
        <v>46</v>
      </c>
      <c r="G32" s="379">
        <v>6</v>
      </c>
      <c r="H32" s="396">
        <v>0.34560000000000002</v>
      </c>
      <c r="I32" s="379">
        <v>20</v>
      </c>
      <c r="J32" s="396">
        <v>6.9120000000000008</v>
      </c>
      <c r="K32" s="381">
        <v>76.032000000000011</v>
      </c>
      <c r="L32" s="361"/>
      <c r="M32" s="356">
        <f t="shared" si="3"/>
        <v>675.99360000000001</v>
      </c>
      <c r="N32" s="346">
        <f t="shared" si="5"/>
        <v>1956</v>
      </c>
      <c r="O32" s="357">
        <f t="shared" si="0"/>
        <v>156.47999999999999</v>
      </c>
      <c r="S32" s="1113" t="s">
        <v>714</v>
      </c>
      <c r="U32" s="1105">
        <f>IF($U$2&lt;4,SUMIFS(РегСкидка!$C$3:$C$619,РегСкидка!$D$3:$D$619,$P$6,РегСкидка!$B$3:$B$619,S32,РегСкидка!$E$3:$E$619,$U$7)/100*IF(OR($U$3=1, $U$3=2,$U$3=3,$U$3=4),1,0),0)</f>
        <v>0</v>
      </c>
    </row>
    <row r="33" spans="1:21" ht="15" customHeight="1" x14ac:dyDescent="0.2">
      <c r="A33" s="1315"/>
      <c r="B33" s="382"/>
      <c r="C33" s="358">
        <v>1200</v>
      </c>
      <c r="D33" s="359">
        <v>600</v>
      </c>
      <c r="E33" s="394">
        <v>90</v>
      </c>
      <c r="F33" s="397" t="s">
        <v>46</v>
      </c>
      <c r="G33" s="379">
        <v>6</v>
      </c>
      <c r="H33" s="396">
        <v>0.38879999999999998</v>
      </c>
      <c r="I33" s="379">
        <v>16</v>
      </c>
      <c r="J33" s="396">
        <v>6.2207999999999997</v>
      </c>
      <c r="K33" s="381">
        <v>68.428799999999995</v>
      </c>
      <c r="L33" s="361"/>
      <c r="M33" s="356">
        <f t="shared" si="3"/>
        <v>760.49279999999999</v>
      </c>
      <c r="N33" s="346">
        <f t="shared" si="5"/>
        <v>1956</v>
      </c>
      <c r="O33" s="357">
        <f t="shared" si="0"/>
        <v>176.04</v>
      </c>
      <c r="S33" s="1113" t="s">
        <v>714</v>
      </c>
      <c r="U33" s="1105">
        <f>IF($U$2&lt;4,SUMIFS(РегСкидка!$C$3:$C$619,РегСкидка!$D$3:$D$619,$P$6,РегСкидка!$B$3:$B$619,S33,РегСкидка!$E$3:$E$619,$U$7)/100*IF(OR($U$3=1, $U$3=2,$U$3=3,$U$3=4),1,0),0)</f>
        <v>0</v>
      </c>
    </row>
    <row r="34" spans="1:21" ht="15" customHeight="1" x14ac:dyDescent="0.2">
      <c r="A34" s="1315"/>
      <c r="B34" s="398" t="s">
        <v>306</v>
      </c>
      <c r="C34" s="358">
        <v>1200</v>
      </c>
      <c r="D34" s="359">
        <v>600</v>
      </c>
      <c r="E34" s="394">
        <v>100</v>
      </c>
      <c r="F34" s="397" t="s">
        <v>46</v>
      </c>
      <c r="G34" s="379">
        <v>6</v>
      </c>
      <c r="H34" s="396">
        <v>0.432</v>
      </c>
      <c r="I34" s="379">
        <v>24</v>
      </c>
      <c r="J34" s="396">
        <v>6.911999999999999</v>
      </c>
      <c r="K34" s="381">
        <v>76.031999999999982</v>
      </c>
      <c r="L34" s="361"/>
      <c r="M34" s="356">
        <f t="shared" si="3"/>
        <v>844.99199999999996</v>
      </c>
      <c r="N34" s="346">
        <f t="shared" si="5"/>
        <v>1956</v>
      </c>
      <c r="O34" s="357">
        <f t="shared" si="0"/>
        <v>195.6</v>
      </c>
      <c r="S34" s="1113" t="s">
        <v>714</v>
      </c>
      <c r="U34" s="1105">
        <f>IF($U$2&lt;4,SUMIFS(РегСкидка!$C$3:$C$619,РегСкидка!$D$3:$D$619,$P$6,РегСкидка!$B$3:$B$619,S34,РегСкидка!$E$3:$E$619,$U$7)/100*IF(OR($U$3=1, $U$3=2,$U$3=3,$U$3=4),1,0),0)</f>
        <v>0</v>
      </c>
    </row>
    <row r="35" spans="1:21" ht="15" hidden="1" customHeight="1" x14ac:dyDescent="0.2">
      <c r="A35" s="1315"/>
      <c r="B35" s="398">
        <v>368133</v>
      </c>
      <c r="C35" s="358">
        <v>1200</v>
      </c>
      <c r="D35" s="359">
        <v>600</v>
      </c>
      <c r="E35" s="394">
        <v>100</v>
      </c>
      <c r="F35" s="397" t="s">
        <v>238</v>
      </c>
      <c r="G35" s="379">
        <v>4</v>
      </c>
      <c r="H35" s="396">
        <v>0.28799999999999998</v>
      </c>
      <c r="I35" s="379">
        <v>28</v>
      </c>
      <c r="J35" s="396">
        <v>8.0640000000000001</v>
      </c>
      <c r="K35" s="381">
        <v>80.64</v>
      </c>
      <c r="L35" s="361"/>
      <c r="M35" s="356" t="e">
        <f t="shared" si="3"/>
        <v>#VALUE!</v>
      </c>
      <c r="N35" s="346" t="s">
        <v>528</v>
      </c>
      <c r="O35" s="357" t="e">
        <f t="shared" si="0"/>
        <v>#VALUE!</v>
      </c>
      <c r="S35" s="1113" t="s">
        <v>714</v>
      </c>
      <c r="U35" s="1105">
        <f>IF($U$2&lt;4,SUMIFS(РегСкидка!$C$3:$C$619,РегСкидка!$D$3:$D$619,$P$6,РегСкидка!$B$3:$B$619,S35,РегСкидка!$E$3:$E$619,$U$7)/100*IF(OR($U$3=1, $U$3=2,$U$3=3,$U$3=4),1,0),0)</f>
        <v>0</v>
      </c>
    </row>
    <row r="36" spans="1:21" ht="15" customHeight="1" x14ac:dyDescent="0.2">
      <c r="A36" s="1315"/>
      <c r="B36" s="399"/>
      <c r="C36" s="358">
        <v>1200</v>
      </c>
      <c r="D36" s="359">
        <v>600</v>
      </c>
      <c r="E36" s="394">
        <v>110</v>
      </c>
      <c r="F36" s="395" t="s">
        <v>46</v>
      </c>
      <c r="G36" s="1053">
        <v>3</v>
      </c>
      <c r="H36" s="396">
        <v>0.23760000000000001</v>
      </c>
      <c r="I36" s="379">
        <v>28</v>
      </c>
      <c r="J36" s="396">
        <v>6.6528</v>
      </c>
      <c r="K36" s="1057">
        <v>73.180800000000005</v>
      </c>
      <c r="L36" s="361"/>
      <c r="M36" s="356">
        <f t="shared" si="3"/>
        <v>464.74560000000002</v>
      </c>
      <c r="N36" s="346">
        <f>N34</f>
        <v>1956</v>
      </c>
      <c r="O36" s="357">
        <f t="shared" si="0"/>
        <v>215.16</v>
      </c>
      <c r="S36" s="1113" t="s">
        <v>714</v>
      </c>
      <c r="U36" s="1105">
        <f>IF($U$2&lt;4,SUMIFS(РегСкидка!$C$3:$C$619,РегСкидка!$D$3:$D$619,$P$6,РегСкидка!$B$3:$B$619,S36,РегСкидка!$E$3:$E$619,$U$7)/100*IF(OR($U$3=1, $U$3=2,$U$3=3,$U$3=4),1,0),0)</f>
        <v>0</v>
      </c>
    </row>
    <row r="37" spans="1:21" ht="15" customHeight="1" x14ac:dyDescent="0.2">
      <c r="A37" s="1315"/>
      <c r="B37" s="399"/>
      <c r="C37" s="358">
        <v>1200</v>
      </c>
      <c r="D37" s="359">
        <v>600</v>
      </c>
      <c r="E37" s="394">
        <v>120</v>
      </c>
      <c r="F37" s="395" t="s">
        <v>46</v>
      </c>
      <c r="G37" s="379">
        <v>4</v>
      </c>
      <c r="H37" s="396">
        <v>0.34560000000000002</v>
      </c>
      <c r="I37" s="379">
        <v>20</v>
      </c>
      <c r="J37" s="396">
        <v>6.9120000000000008</v>
      </c>
      <c r="K37" s="1057">
        <v>76.032000000000011</v>
      </c>
      <c r="L37" s="361"/>
      <c r="M37" s="356">
        <f t="shared" si="3"/>
        <v>675.99360000000001</v>
      </c>
      <c r="N37" s="346">
        <f t="shared" si="5"/>
        <v>1956</v>
      </c>
      <c r="O37" s="357">
        <f t="shared" si="0"/>
        <v>234.72</v>
      </c>
      <c r="S37" s="1113" t="s">
        <v>714</v>
      </c>
      <c r="U37" s="1105">
        <f>IF($U$2&lt;4,SUMIFS(РегСкидка!$C$3:$C$619,РегСкидка!$D$3:$D$619,$P$6,РегСкидка!$B$3:$B$619,S37,РегСкидка!$E$3:$E$619,$U$7)/100*IF(OR($U$3=1, $U$3=2,$U$3=3,$U$3=4),1,0),0)</f>
        <v>0</v>
      </c>
    </row>
    <row r="38" spans="1:21" ht="15" customHeight="1" x14ac:dyDescent="0.2">
      <c r="A38" s="1315"/>
      <c r="B38" s="399"/>
      <c r="C38" s="358">
        <v>1200</v>
      </c>
      <c r="D38" s="359">
        <v>600</v>
      </c>
      <c r="E38" s="394">
        <v>130</v>
      </c>
      <c r="F38" s="395" t="s">
        <v>46</v>
      </c>
      <c r="G38" s="1053">
        <v>3</v>
      </c>
      <c r="H38" s="396">
        <v>0.28079999999999999</v>
      </c>
      <c r="I38" s="379">
        <v>24</v>
      </c>
      <c r="J38" s="396">
        <v>6.7392000000000003</v>
      </c>
      <c r="K38" s="1057">
        <v>74.131200000000007</v>
      </c>
      <c r="L38" s="361"/>
      <c r="M38" s="356">
        <f t="shared" si="3"/>
        <v>549.24479999999994</v>
      </c>
      <c r="N38" s="346">
        <f t="shared" si="5"/>
        <v>1956</v>
      </c>
      <c r="O38" s="357">
        <f t="shared" si="0"/>
        <v>254.28</v>
      </c>
      <c r="S38" s="1113" t="s">
        <v>714</v>
      </c>
      <c r="U38" s="1105">
        <f>IF($U$2&lt;4,SUMIFS(РегСкидка!$C$3:$C$619,РегСкидка!$D$3:$D$619,$P$6,РегСкидка!$B$3:$B$619,S38,РегСкидка!$E$3:$E$619,$U$7)/100*IF(OR($U$3=1, $U$3=2,$U$3=3,$U$3=4),1,0),0)</f>
        <v>0</v>
      </c>
    </row>
    <row r="39" spans="1:21" ht="15" customHeight="1" x14ac:dyDescent="0.2">
      <c r="A39" s="1315"/>
      <c r="B39" s="399"/>
      <c r="C39" s="358">
        <v>1200</v>
      </c>
      <c r="D39" s="359">
        <v>600</v>
      </c>
      <c r="E39" s="394">
        <v>140</v>
      </c>
      <c r="F39" s="395" t="s">
        <v>46</v>
      </c>
      <c r="G39" s="379">
        <v>3</v>
      </c>
      <c r="H39" s="396">
        <v>0.3024</v>
      </c>
      <c r="I39" s="379">
        <v>20</v>
      </c>
      <c r="J39" s="396">
        <v>6.048</v>
      </c>
      <c r="K39" s="381">
        <v>66.528000000000006</v>
      </c>
      <c r="L39" s="361"/>
      <c r="M39" s="356">
        <f t="shared" si="3"/>
        <v>591.49440000000004</v>
      </c>
      <c r="N39" s="346">
        <f t="shared" si="5"/>
        <v>1956</v>
      </c>
      <c r="O39" s="357">
        <f t="shared" si="0"/>
        <v>273.83999999999997</v>
      </c>
      <c r="S39" s="1113" t="s">
        <v>714</v>
      </c>
      <c r="U39" s="1105">
        <f>IF($U$2&lt;4,SUMIFS(РегСкидка!$C$3:$C$619,РегСкидка!$D$3:$D$619,$P$6,РегСкидка!$B$3:$B$619,S39,РегСкидка!$E$3:$E$619,$U$7)/100*IF(OR($U$3=1, $U$3=2,$U$3=3,$U$3=4),1,0),0)</f>
        <v>0</v>
      </c>
    </row>
    <row r="40" spans="1:21" ht="15" customHeight="1" x14ac:dyDescent="0.2">
      <c r="A40" s="1315"/>
      <c r="B40" s="399"/>
      <c r="C40" s="358">
        <v>1200</v>
      </c>
      <c r="D40" s="359">
        <v>600</v>
      </c>
      <c r="E40" s="394">
        <v>150</v>
      </c>
      <c r="F40" s="395" t="s">
        <v>46</v>
      </c>
      <c r="G40" s="379">
        <v>3</v>
      </c>
      <c r="H40" s="396">
        <v>0.32400000000000001</v>
      </c>
      <c r="I40" s="379">
        <v>20</v>
      </c>
      <c r="J40" s="396">
        <v>6.48</v>
      </c>
      <c r="K40" s="381">
        <v>71.28</v>
      </c>
      <c r="L40" s="361"/>
      <c r="M40" s="356">
        <f t="shared" si="3"/>
        <v>633.74400000000003</v>
      </c>
      <c r="N40" s="346">
        <f t="shared" si="5"/>
        <v>1956</v>
      </c>
      <c r="O40" s="357">
        <f t="shared" si="0"/>
        <v>293.39999999999998</v>
      </c>
      <c r="S40" s="1113" t="s">
        <v>714</v>
      </c>
      <c r="U40" s="1105">
        <f>IF($U$2&lt;4,SUMIFS(РегСкидка!$C$3:$C$619,РегСкидка!$D$3:$D$619,$P$6,РегСкидка!$B$3:$B$619,S40,РегСкидка!$E$3:$E$619,$U$7)/100*IF(OR($U$3=1, $U$3=2,$U$3=3,$U$3=4),1,0),0)</f>
        <v>0</v>
      </c>
    </row>
    <row r="41" spans="1:21" ht="15" customHeight="1" x14ac:dyDescent="0.2">
      <c r="A41" s="1315"/>
      <c r="B41" s="399"/>
      <c r="C41" s="358">
        <v>1200</v>
      </c>
      <c r="D41" s="359">
        <v>600</v>
      </c>
      <c r="E41" s="394">
        <v>160</v>
      </c>
      <c r="F41" s="395" t="s">
        <v>46</v>
      </c>
      <c r="G41" s="379">
        <v>3</v>
      </c>
      <c r="H41" s="396">
        <v>0.34560000000000002</v>
      </c>
      <c r="I41" s="379">
        <v>20</v>
      </c>
      <c r="J41" s="396">
        <v>6.9120000000000008</v>
      </c>
      <c r="K41" s="381">
        <v>76.032000000000011</v>
      </c>
      <c r="L41" s="361"/>
      <c r="M41" s="356">
        <f t="shared" si="3"/>
        <v>675.99360000000001</v>
      </c>
      <c r="N41" s="346">
        <f t="shared" si="5"/>
        <v>1956</v>
      </c>
      <c r="O41" s="357">
        <f t="shared" si="0"/>
        <v>312.95999999999998</v>
      </c>
      <c r="S41" s="1113" t="s">
        <v>714</v>
      </c>
      <c r="U41" s="1105">
        <f>IF($U$2&lt;4,SUMIFS(РегСкидка!$C$3:$C$619,РегСкидка!$D$3:$D$619,$P$6,РегСкидка!$B$3:$B$619,S41,РегСкидка!$E$3:$E$619,$U$7)/100*IF(OR($U$3=1, $U$3=2,$U$3=3,$U$3=4),1,0),0)</f>
        <v>0</v>
      </c>
    </row>
    <row r="42" spans="1:21" ht="15" customHeight="1" x14ac:dyDescent="0.2">
      <c r="A42" s="1315"/>
      <c r="B42" s="399"/>
      <c r="C42" s="358">
        <v>1200</v>
      </c>
      <c r="D42" s="359">
        <v>600</v>
      </c>
      <c r="E42" s="394">
        <v>170</v>
      </c>
      <c r="F42" s="395" t="s">
        <v>46</v>
      </c>
      <c r="G42" s="379">
        <v>3</v>
      </c>
      <c r="H42" s="396">
        <v>0.36720000000000003</v>
      </c>
      <c r="I42" s="379">
        <v>16</v>
      </c>
      <c r="J42" s="396">
        <v>5.8752000000000004</v>
      </c>
      <c r="K42" s="381">
        <v>64.627200000000002</v>
      </c>
      <c r="L42" s="361"/>
      <c r="M42" s="356">
        <f t="shared" si="3"/>
        <v>718.2432</v>
      </c>
      <c r="N42" s="346">
        <f t="shared" si="5"/>
        <v>1956</v>
      </c>
      <c r="O42" s="357">
        <f t="shared" ref="O42:O73" si="6">N42*E42/1000</f>
        <v>332.52</v>
      </c>
      <c r="S42" s="1113" t="s">
        <v>714</v>
      </c>
      <c r="U42" s="1105">
        <f>IF($U$2&lt;4,SUMIFS(РегСкидка!$C$3:$C$619,РегСкидка!$D$3:$D$619,$P$6,РегСкидка!$B$3:$B$619,S42,РегСкидка!$E$3:$E$619,$U$7)/100*IF(OR($U$3=1, $U$3=2,$U$3=3,$U$3=4),1,0),0)</f>
        <v>0</v>
      </c>
    </row>
    <row r="43" spans="1:21" ht="15" customHeight="1" x14ac:dyDescent="0.2">
      <c r="A43" s="1315"/>
      <c r="B43" s="399"/>
      <c r="C43" s="358">
        <v>1200</v>
      </c>
      <c r="D43" s="359">
        <v>600</v>
      </c>
      <c r="E43" s="394">
        <v>180</v>
      </c>
      <c r="F43" s="395" t="s">
        <v>46</v>
      </c>
      <c r="G43" s="379">
        <v>3</v>
      </c>
      <c r="H43" s="396">
        <v>0.38879999999999998</v>
      </c>
      <c r="I43" s="379">
        <v>16</v>
      </c>
      <c r="J43" s="396">
        <v>6.2207999999999997</v>
      </c>
      <c r="K43" s="381">
        <v>68.428799999999995</v>
      </c>
      <c r="L43" s="361"/>
      <c r="M43" s="356">
        <f t="shared" si="3"/>
        <v>760.49279999999999</v>
      </c>
      <c r="N43" s="346">
        <f t="shared" si="5"/>
        <v>1956</v>
      </c>
      <c r="O43" s="357">
        <f t="shared" si="6"/>
        <v>352.08</v>
      </c>
      <c r="S43" s="1113" t="s">
        <v>714</v>
      </c>
      <c r="U43" s="1105">
        <f>IF($U$2&lt;4,SUMIFS(РегСкидка!$C$3:$C$619,РегСкидка!$D$3:$D$619,$P$6,РегСкидка!$B$3:$B$619,S43,РегСкидка!$E$3:$E$619,$U$7)/100*IF(OR($U$3=1, $U$3=2,$U$3=3,$U$3=4),1,0),0)</f>
        <v>0</v>
      </c>
    </row>
    <row r="44" spans="1:21" ht="15" customHeight="1" x14ac:dyDescent="0.2">
      <c r="A44" s="1315"/>
      <c r="B44" s="399"/>
      <c r="C44" s="400">
        <v>1200</v>
      </c>
      <c r="D44" s="401">
        <v>600</v>
      </c>
      <c r="E44" s="402">
        <v>190</v>
      </c>
      <c r="F44" s="403" t="s">
        <v>46</v>
      </c>
      <c r="G44" s="362">
        <v>3</v>
      </c>
      <c r="H44" s="363">
        <v>0.41039999999999993</v>
      </c>
      <c r="I44" s="362">
        <v>16</v>
      </c>
      <c r="J44" s="363">
        <v>6.5663999999999998</v>
      </c>
      <c r="K44" s="381">
        <v>72.230400000000003</v>
      </c>
      <c r="L44" s="404"/>
      <c r="M44" s="356">
        <f t="shared" si="3"/>
        <v>802.74239999999986</v>
      </c>
      <c r="N44" s="346">
        <f t="shared" si="5"/>
        <v>1956</v>
      </c>
      <c r="O44" s="357">
        <f t="shared" si="6"/>
        <v>371.64</v>
      </c>
      <c r="S44" s="1113" t="s">
        <v>714</v>
      </c>
      <c r="U44" s="1105">
        <f>IF($U$2&lt;4,SUMIFS(РегСкидка!$C$3:$C$619,РегСкидка!$D$3:$D$619,$P$6,РегСкидка!$B$3:$B$619,S44,РегСкидка!$E$3:$E$619,$U$7)/100*IF(OR($U$3=1, $U$3=2,$U$3=3,$U$3=4),1,0),0)</f>
        <v>0</v>
      </c>
    </row>
    <row r="45" spans="1:21" ht="15" customHeight="1" thickBot="1" x14ac:dyDescent="0.25">
      <c r="A45" s="1316"/>
      <c r="B45" s="405"/>
      <c r="C45" s="406">
        <v>1200</v>
      </c>
      <c r="D45" s="407">
        <v>600</v>
      </c>
      <c r="E45" s="408">
        <v>200</v>
      </c>
      <c r="F45" s="409" t="s">
        <v>46</v>
      </c>
      <c r="G45" s="371">
        <v>3</v>
      </c>
      <c r="H45" s="372">
        <v>0.43199999999999994</v>
      </c>
      <c r="I45" s="371">
        <v>16</v>
      </c>
      <c r="J45" s="372">
        <v>6.911999999999999</v>
      </c>
      <c r="K45" s="373">
        <v>76.031999999999982</v>
      </c>
      <c r="L45" s="410"/>
      <c r="M45" s="426">
        <f t="shared" si="3"/>
        <v>844.99199999999985</v>
      </c>
      <c r="N45" s="375">
        <f t="shared" si="5"/>
        <v>1956</v>
      </c>
      <c r="O45" s="515">
        <f t="shared" si="6"/>
        <v>391.2</v>
      </c>
      <c r="S45" s="1113" t="s">
        <v>714</v>
      </c>
      <c r="U45" s="1105">
        <f>IF($U$2&lt;4,SUMIFS(РегСкидка!$C$3:$C$619,РегСкидка!$D$3:$D$619,$P$6,РегСкидка!$B$3:$B$619,S45,РегСкидка!$E$3:$E$619,$U$7)/100*IF(OR($U$3=1, $U$3=2,$U$3=3,$U$3=4),1,0),0)</f>
        <v>0</v>
      </c>
    </row>
    <row r="46" spans="1:21" ht="15" customHeight="1" x14ac:dyDescent="0.2">
      <c r="A46" s="411" t="s">
        <v>282</v>
      </c>
      <c r="B46" s="412" t="s">
        <v>307</v>
      </c>
      <c r="C46" s="413">
        <v>1200</v>
      </c>
      <c r="D46" s="414">
        <v>600</v>
      </c>
      <c r="E46" s="415">
        <v>50</v>
      </c>
      <c r="F46" s="416" t="s">
        <v>297</v>
      </c>
      <c r="G46" s="417">
        <v>6</v>
      </c>
      <c r="H46" s="418">
        <v>0.216</v>
      </c>
      <c r="I46" s="417">
        <v>32</v>
      </c>
      <c r="J46" s="419">
        <v>6.9119999999999999</v>
      </c>
      <c r="K46" s="381">
        <v>76.031999999999996</v>
      </c>
      <c r="L46" s="418"/>
      <c r="M46" s="356">
        <f t="shared" si="3"/>
        <v>755.78399999999999</v>
      </c>
      <c r="N46" s="516">
        <v>3499</v>
      </c>
      <c r="O46" s="357">
        <f t="shared" si="6"/>
        <v>174.95</v>
      </c>
      <c r="S46" s="1113" t="s">
        <v>714</v>
      </c>
      <c r="U46" s="1105">
        <f>IF($U$2&lt;4,SUMIFS(РегСкидка!$C$3:$C$619,РегСкидка!$D$3:$D$619,$P$6,РегСкидка!$B$3:$B$619,S46,РегСкидка!$E$3:$E$619,$U$7)/100*IF(OR($U$3=1, $U$3=2,$U$3=3,$U$3=4),1,0),0)</f>
        <v>0</v>
      </c>
    </row>
    <row r="47" spans="1:21" ht="15" customHeight="1" x14ac:dyDescent="0.2">
      <c r="A47" s="393" t="s">
        <v>308</v>
      </c>
      <c r="B47" s="348" t="s">
        <v>309</v>
      </c>
      <c r="C47" s="395">
        <v>1200</v>
      </c>
      <c r="D47" s="359">
        <v>600</v>
      </c>
      <c r="E47" s="394">
        <v>60</v>
      </c>
      <c r="F47" s="395" t="s">
        <v>46</v>
      </c>
      <c r="G47" s="379">
        <v>4</v>
      </c>
      <c r="H47" s="361">
        <v>0.17279999999999998</v>
      </c>
      <c r="I47" s="379">
        <v>40</v>
      </c>
      <c r="J47" s="396">
        <v>6.911999999999999</v>
      </c>
      <c r="K47" s="381">
        <v>76.031999999999982</v>
      </c>
      <c r="L47" s="361"/>
      <c r="M47" s="356">
        <f t="shared" si="3"/>
        <v>604.6271999999999</v>
      </c>
      <c r="N47" s="346">
        <f>N46</f>
        <v>3499</v>
      </c>
      <c r="O47" s="357">
        <f t="shared" si="6"/>
        <v>209.94</v>
      </c>
      <c r="S47" s="1113" t="s">
        <v>714</v>
      </c>
      <c r="U47" s="1105">
        <f>IF($U$2&lt;4,SUMIFS(РегСкидка!$C$3:$C$619,РегСкидка!$D$3:$D$619,$P$6,РегСкидка!$B$3:$B$619,S47,РегСкидка!$E$3:$E$619,$U$7)/100*IF(OR($U$3=1, $U$3=2,$U$3=3,$U$3=4),1,0),0)</f>
        <v>0</v>
      </c>
    </row>
    <row r="48" spans="1:21" ht="15" customHeight="1" x14ac:dyDescent="0.2">
      <c r="A48" s="1315" t="s">
        <v>27</v>
      </c>
      <c r="B48" s="420"/>
      <c r="C48" s="395">
        <v>1200</v>
      </c>
      <c r="D48" s="359">
        <v>600</v>
      </c>
      <c r="E48" s="394">
        <v>70</v>
      </c>
      <c r="F48" s="395" t="s">
        <v>46</v>
      </c>
      <c r="G48" s="379">
        <v>4</v>
      </c>
      <c r="H48" s="361">
        <v>0.2016</v>
      </c>
      <c r="I48" s="379">
        <v>32</v>
      </c>
      <c r="J48" s="396">
        <v>6.4512</v>
      </c>
      <c r="K48" s="381">
        <v>70.963200000000001</v>
      </c>
      <c r="L48" s="361"/>
      <c r="M48" s="356">
        <f t="shared" si="3"/>
        <v>705.39840000000004</v>
      </c>
      <c r="N48" s="346">
        <f t="shared" ref="N48:N61" si="7">N47</f>
        <v>3499</v>
      </c>
      <c r="O48" s="357">
        <f t="shared" si="6"/>
        <v>244.93</v>
      </c>
      <c r="S48" s="1113" t="s">
        <v>714</v>
      </c>
      <c r="U48" s="1105">
        <f>IF($U$2&lt;4,SUMIFS(РегСкидка!$C$3:$C$619,РегСкидка!$D$3:$D$619,$P$6,РегСкидка!$B$3:$B$619,S48,РегСкидка!$E$3:$E$619,$U$7)/100*IF(OR($U$3=1, $U$3=2,$U$3=3,$U$3=4),1,0),0)</f>
        <v>0</v>
      </c>
    </row>
    <row r="49" spans="1:21" ht="15" customHeight="1" x14ac:dyDescent="0.2">
      <c r="A49" s="1315"/>
      <c r="B49" s="382"/>
      <c r="C49" s="395">
        <v>1200</v>
      </c>
      <c r="D49" s="359">
        <v>600</v>
      </c>
      <c r="E49" s="394">
        <v>80</v>
      </c>
      <c r="F49" s="395" t="s">
        <v>46</v>
      </c>
      <c r="G49" s="379">
        <v>5</v>
      </c>
      <c r="H49" s="361">
        <v>0.28799999999999998</v>
      </c>
      <c r="I49" s="379">
        <v>24</v>
      </c>
      <c r="J49" s="396">
        <v>6.911999999999999</v>
      </c>
      <c r="K49" s="381">
        <v>76.031999999999982</v>
      </c>
      <c r="L49" s="361"/>
      <c r="M49" s="356">
        <f t="shared" si="3"/>
        <v>1007.7119999999999</v>
      </c>
      <c r="N49" s="346">
        <f t="shared" si="7"/>
        <v>3499</v>
      </c>
      <c r="O49" s="357">
        <f t="shared" si="6"/>
        <v>279.92</v>
      </c>
      <c r="S49" s="1113" t="s">
        <v>585</v>
      </c>
      <c r="U49" s="1105">
        <f>IF($U$2&lt;4,SUMIFS(РегСкидка!$C$3:$C$619,РегСкидка!$D$3:$D$619,$P$6,РегСкидка!$B$3:$B$619,S49,РегСкидка!$E$3:$E$619,$U$7)/100*IF(OR($U$3=1, $U$3=2,$U$3=3,$U$3=4),1,0),0)</f>
        <v>0</v>
      </c>
    </row>
    <row r="50" spans="1:21" ht="15" customHeight="1" x14ac:dyDescent="0.2">
      <c r="A50" s="1315"/>
      <c r="B50" s="348" t="s">
        <v>310</v>
      </c>
      <c r="C50" s="395">
        <v>1200</v>
      </c>
      <c r="D50" s="359">
        <v>600</v>
      </c>
      <c r="E50" s="394">
        <v>90</v>
      </c>
      <c r="F50" s="397" t="s">
        <v>46</v>
      </c>
      <c r="G50" s="1053">
        <v>5</v>
      </c>
      <c r="H50" s="361">
        <v>0.32400000000000001</v>
      </c>
      <c r="I50" s="379">
        <v>20</v>
      </c>
      <c r="J50" s="396">
        <v>6.48</v>
      </c>
      <c r="K50" s="1057">
        <v>71.28</v>
      </c>
      <c r="L50" s="361"/>
      <c r="M50" s="356">
        <f t="shared" si="3"/>
        <v>1133.6759999999999</v>
      </c>
      <c r="N50" s="346">
        <f t="shared" si="7"/>
        <v>3499</v>
      </c>
      <c r="O50" s="357">
        <f t="shared" si="6"/>
        <v>314.91000000000003</v>
      </c>
      <c r="S50" s="1113" t="s">
        <v>585</v>
      </c>
      <c r="U50" s="1105">
        <f>IF($U$2&lt;4,SUMIFS(РегСкидка!$C$3:$C$619,РегСкидка!$D$3:$D$619,$P$6,РегСкидка!$B$3:$B$619,S50,РегСкидка!$E$3:$E$619,$U$7)/100*IF(OR($U$3=1, $U$3=2,$U$3=3,$U$3=4),1,0),0)</f>
        <v>0</v>
      </c>
    </row>
    <row r="51" spans="1:21" ht="15" customHeight="1" x14ac:dyDescent="0.2">
      <c r="A51" s="1315"/>
      <c r="B51" s="348" t="s">
        <v>311</v>
      </c>
      <c r="C51" s="395">
        <v>1200</v>
      </c>
      <c r="D51" s="359">
        <v>600</v>
      </c>
      <c r="E51" s="394">
        <v>100</v>
      </c>
      <c r="F51" s="416" t="s">
        <v>297</v>
      </c>
      <c r="G51" s="379">
        <v>4</v>
      </c>
      <c r="H51" s="361">
        <v>0.28799999999999998</v>
      </c>
      <c r="I51" s="379">
        <v>24</v>
      </c>
      <c r="J51" s="396">
        <v>6.911999999999999</v>
      </c>
      <c r="K51" s="1057">
        <v>76.031999999999982</v>
      </c>
      <c r="L51" s="361"/>
      <c r="M51" s="356">
        <f t="shared" si="3"/>
        <v>1007.7119999999999</v>
      </c>
      <c r="N51" s="346">
        <f t="shared" si="7"/>
        <v>3499</v>
      </c>
      <c r="O51" s="357">
        <f t="shared" si="6"/>
        <v>349.9</v>
      </c>
      <c r="S51" s="1113" t="s">
        <v>585</v>
      </c>
      <c r="U51" s="1105">
        <f>IF($U$2&lt;4,SUMIFS(РегСкидка!$C$3:$C$619,РегСкидка!$D$3:$D$619,$P$6,РегСкидка!$B$3:$B$619,S51,РегСкидка!$E$3:$E$619,$U$7)/100*IF(OR($U$3=1, $U$3=2,$U$3=3,$U$3=4),1,0),0)</f>
        <v>0</v>
      </c>
    </row>
    <row r="52" spans="1:21" ht="15" customHeight="1" x14ac:dyDescent="0.2">
      <c r="A52" s="1315"/>
      <c r="B52" s="382"/>
      <c r="C52" s="395">
        <v>1200</v>
      </c>
      <c r="D52" s="359">
        <v>600</v>
      </c>
      <c r="E52" s="394">
        <v>110</v>
      </c>
      <c r="F52" s="395" t="s">
        <v>46</v>
      </c>
      <c r="G52" s="379">
        <v>3</v>
      </c>
      <c r="H52" s="361">
        <v>0.23760000000000001</v>
      </c>
      <c r="I52" s="379">
        <v>28</v>
      </c>
      <c r="J52" s="396">
        <v>6.6528</v>
      </c>
      <c r="K52" s="1057">
        <v>73.180800000000005</v>
      </c>
      <c r="L52" s="361"/>
      <c r="M52" s="356">
        <f t="shared" si="3"/>
        <v>831.36239999999998</v>
      </c>
      <c r="N52" s="346">
        <f t="shared" si="7"/>
        <v>3499</v>
      </c>
      <c r="O52" s="357">
        <f t="shared" si="6"/>
        <v>384.89</v>
      </c>
      <c r="S52" s="1113" t="s">
        <v>585</v>
      </c>
      <c r="U52" s="1105">
        <f>IF($U$2&lt;4,SUMIFS(РегСкидка!$C$3:$C$619,РегСкидка!$D$3:$D$619,$P$6,РегСкидка!$B$3:$B$619,S52,РегСкидка!$E$3:$E$619,$U$7)/100*IF(OR($U$3=1, $U$3=2,$U$3=3,$U$3=4),1,0),0)</f>
        <v>0</v>
      </c>
    </row>
    <row r="53" spans="1:21" ht="15" customHeight="1" x14ac:dyDescent="0.2">
      <c r="A53" s="1315"/>
      <c r="B53" s="1054">
        <v>402026</v>
      </c>
      <c r="C53" s="395">
        <v>1200</v>
      </c>
      <c r="D53" s="359">
        <v>600</v>
      </c>
      <c r="E53" s="394">
        <v>120</v>
      </c>
      <c r="F53" s="395" t="s">
        <v>46</v>
      </c>
      <c r="G53" s="1053">
        <v>2</v>
      </c>
      <c r="H53" s="361">
        <v>0.17280000000000001</v>
      </c>
      <c r="I53" s="379">
        <v>40</v>
      </c>
      <c r="J53" s="396">
        <v>6.9120000000000008</v>
      </c>
      <c r="K53" s="1057">
        <v>76.032000000000011</v>
      </c>
      <c r="L53" s="361"/>
      <c r="M53" s="356">
        <f t="shared" si="3"/>
        <v>604.62720000000002</v>
      </c>
      <c r="N53" s="346">
        <f t="shared" si="7"/>
        <v>3499</v>
      </c>
      <c r="O53" s="357">
        <f t="shared" si="6"/>
        <v>419.88</v>
      </c>
      <c r="S53" s="1113" t="s">
        <v>585</v>
      </c>
      <c r="U53" s="1105">
        <f>IF($U$2&lt;4,SUMIFS(РегСкидка!$C$3:$C$619,РегСкидка!$D$3:$D$619,$P$6,РегСкидка!$B$3:$B$619,S53,РегСкидка!$E$3:$E$619,$U$7)/100*IF(OR($U$3=1, $U$3=2,$U$3=3,$U$3=4),1,0),0)</f>
        <v>0</v>
      </c>
    </row>
    <row r="54" spans="1:21" ht="15" customHeight="1" x14ac:dyDescent="0.2">
      <c r="A54" s="1315"/>
      <c r="B54" s="348" t="s">
        <v>313</v>
      </c>
      <c r="C54" s="395">
        <v>1200</v>
      </c>
      <c r="D54" s="359">
        <v>600</v>
      </c>
      <c r="E54" s="394">
        <v>130</v>
      </c>
      <c r="F54" s="395" t="s">
        <v>46</v>
      </c>
      <c r="G54" s="379">
        <v>2</v>
      </c>
      <c r="H54" s="361">
        <v>0.18719999999999998</v>
      </c>
      <c r="I54" s="379">
        <v>36</v>
      </c>
      <c r="J54" s="396">
        <v>6.7391999999999994</v>
      </c>
      <c r="K54" s="381">
        <v>74.131199999999993</v>
      </c>
      <c r="L54" s="361"/>
      <c r="M54" s="356">
        <f t="shared" si="3"/>
        <v>655.01279999999997</v>
      </c>
      <c r="N54" s="346">
        <f t="shared" si="7"/>
        <v>3499</v>
      </c>
      <c r="O54" s="357">
        <f t="shared" si="6"/>
        <v>454.87</v>
      </c>
      <c r="S54" s="1113" t="s">
        <v>585</v>
      </c>
      <c r="U54" s="1105">
        <f>IF($U$2&lt;4,SUMIFS(РегСкидка!$C$3:$C$619,РегСкидка!$D$3:$D$619,$P$6,РегСкидка!$B$3:$B$619,S54,РегСкидка!$E$3:$E$619,$U$7)/100*IF(OR($U$3=1, $U$3=2,$U$3=3,$U$3=4),1,0),0)</f>
        <v>0</v>
      </c>
    </row>
    <row r="55" spans="1:21" ht="15" customHeight="1" x14ac:dyDescent="0.2">
      <c r="A55" s="1315"/>
      <c r="B55" s="382"/>
      <c r="C55" s="395">
        <v>1200</v>
      </c>
      <c r="D55" s="359">
        <v>600</v>
      </c>
      <c r="E55" s="394">
        <v>140</v>
      </c>
      <c r="F55" s="395" t="s">
        <v>46</v>
      </c>
      <c r="G55" s="379">
        <v>2</v>
      </c>
      <c r="H55" s="361">
        <v>0.2016</v>
      </c>
      <c r="I55" s="379">
        <v>32</v>
      </c>
      <c r="J55" s="396">
        <v>6.4512</v>
      </c>
      <c r="K55" s="381">
        <v>70.963200000000001</v>
      </c>
      <c r="L55" s="361"/>
      <c r="M55" s="356">
        <f t="shared" si="3"/>
        <v>705.39840000000004</v>
      </c>
      <c r="N55" s="346">
        <f t="shared" si="7"/>
        <v>3499</v>
      </c>
      <c r="O55" s="357">
        <f t="shared" si="6"/>
        <v>489.86</v>
      </c>
      <c r="S55" s="1113" t="s">
        <v>585</v>
      </c>
      <c r="U55" s="1105">
        <f>IF($U$2&lt;4,SUMIFS(РегСкидка!$C$3:$C$619,РегСкидка!$D$3:$D$619,$P$6,РегСкидка!$B$3:$B$619,S55,РегСкидка!$E$3:$E$619,$U$7)/100*IF(OR($U$3=1, $U$3=2,$U$3=3,$U$3=4),1,0),0)</f>
        <v>0</v>
      </c>
    </row>
    <row r="56" spans="1:21" ht="15" customHeight="1" x14ac:dyDescent="0.2">
      <c r="A56" s="1315"/>
      <c r="B56" s="348" t="s">
        <v>314</v>
      </c>
      <c r="C56" s="395">
        <v>1200</v>
      </c>
      <c r="D56" s="359">
        <v>600</v>
      </c>
      <c r="E56" s="394">
        <v>150</v>
      </c>
      <c r="F56" s="395" t="s">
        <v>46</v>
      </c>
      <c r="G56" s="379">
        <v>2</v>
      </c>
      <c r="H56" s="361">
        <v>0.216</v>
      </c>
      <c r="I56" s="379">
        <v>32</v>
      </c>
      <c r="J56" s="396">
        <v>6.9119999999999999</v>
      </c>
      <c r="K56" s="381">
        <v>76.031999999999996</v>
      </c>
      <c r="L56" s="361"/>
      <c r="M56" s="356">
        <f t="shared" si="3"/>
        <v>755.78399999999999</v>
      </c>
      <c r="N56" s="346">
        <f t="shared" si="7"/>
        <v>3499</v>
      </c>
      <c r="O56" s="357">
        <f t="shared" si="6"/>
        <v>524.85</v>
      </c>
      <c r="S56" s="1113" t="s">
        <v>585</v>
      </c>
      <c r="U56" s="1105">
        <f>IF($U$2&lt;4,SUMIFS(РегСкидка!$C$3:$C$619,РегСкидка!$D$3:$D$619,$P$6,РегСкидка!$B$3:$B$619,S56,РегСкидка!$E$3:$E$619,$U$7)/100*IF(OR($U$3=1, $U$3=2,$U$3=3,$U$3=4),1,0),0)</f>
        <v>0</v>
      </c>
    </row>
    <row r="57" spans="1:21" ht="15" customHeight="1" x14ac:dyDescent="0.2">
      <c r="A57" s="1315"/>
      <c r="B57" s="382"/>
      <c r="C57" s="395">
        <v>1200</v>
      </c>
      <c r="D57" s="359">
        <v>600</v>
      </c>
      <c r="E57" s="394">
        <v>160</v>
      </c>
      <c r="F57" s="395" t="s">
        <v>46</v>
      </c>
      <c r="G57" s="379">
        <v>2</v>
      </c>
      <c r="H57" s="361">
        <v>0.23039999999999997</v>
      </c>
      <c r="I57" s="379">
        <v>28</v>
      </c>
      <c r="J57" s="396">
        <v>6.4511999999999992</v>
      </c>
      <c r="K57" s="381">
        <v>70.963199999999986</v>
      </c>
      <c r="L57" s="361"/>
      <c r="M57" s="356">
        <f t="shared" si="3"/>
        <v>806.16959999999983</v>
      </c>
      <c r="N57" s="346">
        <f t="shared" si="7"/>
        <v>3499</v>
      </c>
      <c r="O57" s="357">
        <f t="shared" si="6"/>
        <v>559.84</v>
      </c>
      <c r="S57" s="1113" t="s">
        <v>585</v>
      </c>
      <c r="U57" s="1105">
        <f>IF($U$2&lt;4,SUMIFS(РегСкидка!$C$3:$C$619,РегСкидка!$D$3:$D$619,$P$6,РегСкидка!$B$3:$B$619,S57,РегСкидка!$E$3:$E$619,$U$7)/100*IF(OR($U$3=1, $U$3=2,$U$3=3,$U$3=4),1,0),0)</f>
        <v>0</v>
      </c>
    </row>
    <row r="58" spans="1:21" ht="15" customHeight="1" x14ac:dyDescent="0.2">
      <c r="A58" s="1315"/>
      <c r="B58" s="382"/>
      <c r="C58" s="395">
        <v>1200</v>
      </c>
      <c r="D58" s="359">
        <v>600</v>
      </c>
      <c r="E58" s="394">
        <v>170</v>
      </c>
      <c r="F58" s="395" t="s">
        <v>46</v>
      </c>
      <c r="G58" s="379">
        <v>2</v>
      </c>
      <c r="H58" s="361">
        <v>0.24479999999999999</v>
      </c>
      <c r="I58" s="379">
        <v>28</v>
      </c>
      <c r="J58" s="396">
        <v>6.8544</v>
      </c>
      <c r="K58" s="381">
        <v>75.398399999999995</v>
      </c>
      <c r="L58" s="361"/>
      <c r="M58" s="356">
        <f t="shared" si="3"/>
        <v>856.55520000000001</v>
      </c>
      <c r="N58" s="346">
        <f t="shared" si="7"/>
        <v>3499</v>
      </c>
      <c r="O58" s="357">
        <f t="shared" si="6"/>
        <v>594.83000000000004</v>
      </c>
      <c r="S58" s="1113" t="s">
        <v>585</v>
      </c>
      <c r="U58" s="1105">
        <f>IF($U$2&lt;4,SUMIFS(РегСкидка!$C$3:$C$619,РегСкидка!$D$3:$D$619,$P$6,РегСкидка!$B$3:$B$619,S58,РегСкидка!$E$3:$E$619,$U$7)/100*IF(OR($U$3=1, $U$3=2,$U$3=3,$U$3=4),1,0),0)</f>
        <v>0</v>
      </c>
    </row>
    <row r="59" spans="1:21" ht="15" customHeight="1" x14ac:dyDescent="0.2">
      <c r="A59" s="1315"/>
      <c r="B59" s="382"/>
      <c r="C59" s="395">
        <v>1200</v>
      </c>
      <c r="D59" s="359">
        <v>600</v>
      </c>
      <c r="E59" s="394">
        <v>180</v>
      </c>
      <c r="F59" s="395" t="s">
        <v>46</v>
      </c>
      <c r="G59" s="379">
        <v>2</v>
      </c>
      <c r="H59" s="361">
        <v>0.25919999999999999</v>
      </c>
      <c r="I59" s="379">
        <v>24</v>
      </c>
      <c r="J59" s="396">
        <v>6.2207999999999997</v>
      </c>
      <c r="K59" s="381">
        <v>68.428799999999995</v>
      </c>
      <c r="L59" s="361"/>
      <c r="M59" s="356">
        <f t="shared" si="3"/>
        <v>906.94079999999997</v>
      </c>
      <c r="N59" s="346">
        <f t="shared" si="7"/>
        <v>3499</v>
      </c>
      <c r="O59" s="357">
        <f t="shared" si="6"/>
        <v>629.82000000000005</v>
      </c>
      <c r="S59" s="1113" t="s">
        <v>585</v>
      </c>
      <c r="U59" s="1105">
        <f>IF($U$2&lt;4,SUMIFS(РегСкидка!$C$3:$C$619,РегСкидка!$D$3:$D$619,$P$6,РегСкидка!$B$3:$B$619,S59,РегСкидка!$E$3:$E$619,$U$7)/100*IF(OR($U$3=1, $U$3=2,$U$3=3,$U$3=4),1,0),0)</f>
        <v>0</v>
      </c>
    </row>
    <row r="60" spans="1:21" ht="15" customHeight="1" x14ac:dyDescent="0.2">
      <c r="A60" s="1315"/>
      <c r="B60" s="382"/>
      <c r="C60" s="395">
        <v>1200</v>
      </c>
      <c r="D60" s="359">
        <v>600</v>
      </c>
      <c r="E60" s="394">
        <v>190</v>
      </c>
      <c r="F60" s="395" t="s">
        <v>46</v>
      </c>
      <c r="G60" s="379">
        <v>2</v>
      </c>
      <c r="H60" s="361">
        <v>0.27359999999999995</v>
      </c>
      <c r="I60" s="379">
        <v>24</v>
      </c>
      <c r="J60" s="396">
        <v>6.5663999999999989</v>
      </c>
      <c r="K60" s="381">
        <v>72.230399999999989</v>
      </c>
      <c r="L60" s="361"/>
      <c r="M60" s="356">
        <f t="shared" si="3"/>
        <v>957.32639999999981</v>
      </c>
      <c r="N60" s="346">
        <f t="shared" si="7"/>
        <v>3499</v>
      </c>
      <c r="O60" s="357">
        <f t="shared" si="6"/>
        <v>664.81</v>
      </c>
      <c r="S60" s="1113" t="s">
        <v>585</v>
      </c>
      <c r="U60" s="1105">
        <f>IF($U$2&lt;4,SUMIFS(РегСкидка!$C$3:$C$619,РегСкидка!$D$3:$D$619,$P$6,РегСкидка!$B$3:$B$619,S60,РегСкидка!$E$3:$E$619,$U$7)/100*IF(OR($U$3=1, $U$3=2,$U$3=3,$U$3=4),1,0),0)</f>
        <v>0</v>
      </c>
    </row>
    <row r="61" spans="1:21" ht="15" customHeight="1" thickBot="1" x14ac:dyDescent="0.25">
      <c r="A61" s="1316"/>
      <c r="B61" s="421"/>
      <c r="C61" s="422">
        <v>1200</v>
      </c>
      <c r="D61" s="367">
        <v>600</v>
      </c>
      <c r="E61" s="423">
        <v>200</v>
      </c>
      <c r="F61" s="422" t="s">
        <v>46</v>
      </c>
      <c r="G61" s="424">
        <v>2</v>
      </c>
      <c r="H61" s="370">
        <v>0.28799999999999998</v>
      </c>
      <c r="I61" s="424">
        <v>24</v>
      </c>
      <c r="J61" s="425">
        <v>6.911999999999999</v>
      </c>
      <c r="K61" s="373">
        <v>76.031999999999982</v>
      </c>
      <c r="L61" s="370"/>
      <c r="M61" s="426">
        <f t="shared" si="3"/>
        <v>1007.7119999999999</v>
      </c>
      <c r="N61" s="346">
        <f t="shared" si="7"/>
        <v>3499</v>
      </c>
      <c r="O61" s="515">
        <f t="shared" si="6"/>
        <v>699.8</v>
      </c>
      <c r="S61" s="1113" t="s">
        <v>585</v>
      </c>
      <c r="U61" s="1105">
        <f>IF($U$2&lt;4,SUMIFS(РегСкидка!$C$3:$C$619,РегСкидка!$D$3:$D$619,$P$6,РегСкидка!$B$3:$B$619,S61,РегСкидка!$E$3:$E$619,$U$7)/100*IF(OR($U$3=1, $U$3=2,$U$3=3,$U$3=4),1,0),0)</f>
        <v>0</v>
      </c>
    </row>
    <row r="62" spans="1:21" ht="15" customHeight="1" x14ac:dyDescent="0.2">
      <c r="A62" s="376" t="s">
        <v>285</v>
      </c>
      <c r="B62" s="338"/>
      <c r="C62" s="427">
        <v>1200</v>
      </c>
      <c r="D62" s="340">
        <v>600</v>
      </c>
      <c r="E62" s="392">
        <v>50</v>
      </c>
      <c r="F62" s="341" t="s">
        <v>297</v>
      </c>
      <c r="G62" s="1058">
        <v>6</v>
      </c>
      <c r="H62" s="343">
        <v>0.216</v>
      </c>
      <c r="I62" s="342">
        <v>32</v>
      </c>
      <c r="J62" s="344">
        <v>6.9119999999999999</v>
      </c>
      <c r="K62" s="1057">
        <v>76.031999999999996</v>
      </c>
      <c r="L62" s="343"/>
      <c r="M62" s="356">
        <f t="shared" si="3"/>
        <v>1375.92</v>
      </c>
      <c r="N62" s="459">
        <v>6370</v>
      </c>
      <c r="O62" s="357">
        <f t="shared" si="6"/>
        <v>318.5</v>
      </c>
      <c r="S62" s="1113" t="s">
        <v>585</v>
      </c>
      <c r="U62" s="1105">
        <f>IF($U$2&lt;4,SUMIFS(РегСкидка!$C$3:$C$619,РегСкидка!$D$3:$D$619,$P$6,РегСкидка!$B$3:$B$619,S62,РегСкидка!$E$3:$E$619,$U$7)/100*IF(OR($U$3=1, $U$3=2,$U$3=3,$U$3=4),1,0),0)</f>
        <v>0</v>
      </c>
    </row>
    <row r="63" spans="1:21" ht="15" customHeight="1" x14ac:dyDescent="0.2">
      <c r="A63" s="393" t="s">
        <v>316</v>
      </c>
      <c r="B63" s="348" t="s">
        <v>317</v>
      </c>
      <c r="C63" s="395">
        <v>1200</v>
      </c>
      <c r="D63" s="359">
        <v>600</v>
      </c>
      <c r="E63" s="394">
        <v>60</v>
      </c>
      <c r="F63" s="395" t="s">
        <v>46</v>
      </c>
      <c r="G63" s="379">
        <v>4</v>
      </c>
      <c r="H63" s="361">
        <v>0.17280000000000001</v>
      </c>
      <c r="I63" s="379">
        <v>40</v>
      </c>
      <c r="J63" s="396">
        <v>6.9120000000000008</v>
      </c>
      <c r="K63" s="381">
        <v>76.032000000000011</v>
      </c>
      <c r="L63" s="361"/>
      <c r="M63" s="356">
        <f t="shared" si="3"/>
        <v>1100.7360000000001</v>
      </c>
      <c r="N63" s="346">
        <f>N62</f>
        <v>6370</v>
      </c>
      <c r="O63" s="357">
        <f t="shared" si="6"/>
        <v>382.2</v>
      </c>
      <c r="S63" s="1113" t="s">
        <v>585</v>
      </c>
      <c r="U63" s="1105">
        <f>IF($U$2&lt;4,SUMIFS(РегСкидка!$C$3:$C$619,РегСкидка!$D$3:$D$619,$P$6,РегСкидка!$B$3:$B$619,S63,РегСкидка!$E$3:$E$619,$U$7)/100*IF(OR($U$3=1, $U$3=2,$U$3=3,$U$3=4),1,0),0)</f>
        <v>0</v>
      </c>
    </row>
    <row r="64" spans="1:21" ht="15" customHeight="1" x14ac:dyDescent="0.2">
      <c r="A64" s="1315" t="s">
        <v>30</v>
      </c>
      <c r="B64" s="420"/>
      <c r="C64" s="395">
        <v>1200</v>
      </c>
      <c r="D64" s="359">
        <v>600</v>
      </c>
      <c r="E64" s="394">
        <v>70</v>
      </c>
      <c r="F64" s="395" t="s">
        <v>46</v>
      </c>
      <c r="G64" s="379">
        <v>3</v>
      </c>
      <c r="H64" s="361">
        <v>0.1512</v>
      </c>
      <c r="I64" s="379">
        <v>44</v>
      </c>
      <c r="J64" s="396">
        <v>6.6528</v>
      </c>
      <c r="K64" s="381">
        <v>73.180800000000005</v>
      </c>
      <c r="L64" s="361"/>
      <c r="M64" s="356">
        <f t="shared" si="3"/>
        <v>963.14400000000001</v>
      </c>
      <c r="N64" s="346">
        <f t="shared" ref="N64:N77" si="8">N63</f>
        <v>6370</v>
      </c>
      <c r="O64" s="357">
        <f t="shared" si="6"/>
        <v>445.9</v>
      </c>
      <c r="S64" s="1113" t="s">
        <v>585</v>
      </c>
      <c r="U64" s="1105">
        <f>IF($U$2&lt;4,SUMIFS(РегСкидка!$C$3:$C$619,РегСкидка!$D$3:$D$619,$P$6,РегСкидка!$B$3:$B$619,S64,РегСкидка!$E$3:$E$619,$U$7)/100*IF(OR($U$3=1, $U$3=2,$U$3=3,$U$3=4),1,0),0)</f>
        <v>0</v>
      </c>
    </row>
    <row r="65" spans="1:21" ht="15" customHeight="1" x14ac:dyDescent="0.2">
      <c r="A65" s="1315"/>
      <c r="B65" s="348" t="s">
        <v>318</v>
      </c>
      <c r="C65" s="395">
        <v>1200</v>
      </c>
      <c r="D65" s="359">
        <v>600</v>
      </c>
      <c r="E65" s="394">
        <v>80</v>
      </c>
      <c r="F65" s="395" t="s">
        <v>46</v>
      </c>
      <c r="G65" s="379">
        <v>3</v>
      </c>
      <c r="H65" s="361">
        <v>0.17280000000000001</v>
      </c>
      <c r="I65" s="379">
        <v>40</v>
      </c>
      <c r="J65" s="396">
        <v>6.9120000000000008</v>
      </c>
      <c r="K65" s="381">
        <v>76.032000000000011</v>
      </c>
      <c r="L65" s="361"/>
      <c r="M65" s="356">
        <f t="shared" si="3"/>
        <v>1100.7360000000001</v>
      </c>
      <c r="N65" s="346">
        <f t="shared" si="8"/>
        <v>6370</v>
      </c>
      <c r="O65" s="357">
        <f t="shared" si="6"/>
        <v>509.6</v>
      </c>
      <c r="S65" s="1113" t="s">
        <v>429</v>
      </c>
      <c r="U65" s="1105">
        <f>IF($U$2&lt;4,SUMIFS(РегСкидка!$C$3:$C$619,РегСкидка!$D$3:$D$619,$P$6,РегСкидка!$B$3:$B$619,S65,РегСкидка!$E$3:$E$619,$U$7)/100*IF(OR($U$3=1, $U$3=2,$U$3=3,$U$3=4),1,0),0)</f>
        <v>0</v>
      </c>
    </row>
    <row r="66" spans="1:21" ht="15" customHeight="1" x14ac:dyDescent="0.2">
      <c r="A66" s="1315"/>
      <c r="B66" s="1055">
        <v>368145</v>
      </c>
      <c r="C66" s="395">
        <v>1200</v>
      </c>
      <c r="D66" s="359">
        <v>600</v>
      </c>
      <c r="E66" s="394">
        <v>90</v>
      </c>
      <c r="F66" s="395" t="s">
        <v>46</v>
      </c>
      <c r="G66" s="1053">
        <v>2</v>
      </c>
      <c r="H66" s="361">
        <v>0.12959999999999999</v>
      </c>
      <c r="I66" s="379">
        <v>52</v>
      </c>
      <c r="J66" s="396">
        <v>6.7391999999999994</v>
      </c>
      <c r="K66" s="381">
        <v>74.131199999999993</v>
      </c>
      <c r="L66" s="361"/>
      <c r="M66" s="356">
        <f t="shared" si="3"/>
        <v>825.55199999999991</v>
      </c>
      <c r="N66" s="346">
        <f t="shared" si="8"/>
        <v>6370</v>
      </c>
      <c r="O66" s="357">
        <f t="shared" si="6"/>
        <v>573.29999999999995</v>
      </c>
      <c r="S66" s="1113" t="s">
        <v>429</v>
      </c>
      <c r="U66" s="1105">
        <f>IF($U$2&lt;4,SUMIFS(РегСкидка!$C$3:$C$619,РегСкидка!$D$3:$D$619,$P$6,РегСкидка!$B$3:$B$619,S66,РегСкидка!$E$3:$E$619,$U$7)/100*IF(OR($U$3=1, $U$3=2,$U$3=3,$U$3=4),1,0),0)</f>
        <v>0</v>
      </c>
    </row>
    <row r="67" spans="1:21" ht="15" customHeight="1" x14ac:dyDescent="0.2">
      <c r="A67" s="1315"/>
      <c r="B67" s="348" t="s">
        <v>319</v>
      </c>
      <c r="C67" s="395">
        <v>1200</v>
      </c>
      <c r="D67" s="359">
        <v>600</v>
      </c>
      <c r="E67" s="394">
        <v>100</v>
      </c>
      <c r="F67" s="416" t="s">
        <v>297</v>
      </c>
      <c r="G67" s="379">
        <v>2</v>
      </c>
      <c r="H67" s="361">
        <v>0.14399999999999999</v>
      </c>
      <c r="I67" s="379">
        <v>48</v>
      </c>
      <c r="J67" s="396">
        <v>6.911999999999999</v>
      </c>
      <c r="K67" s="381">
        <v>76.031999999999982</v>
      </c>
      <c r="L67" s="361"/>
      <c r="M67" s="356">
        <f t="shared" si="3"/>
        <v>917.28</v>
      </c>
      <c r="N67" s="346">
        <f t="shared" si="8"/>
        <v>6370</v>
      </c>
      <c r="O67" s="357">
        <f t="shared" si="6"/>
        <v>637</v>
      </c>
      <c r="S67" s="1113" t="s">
        <v>429</v>
      </c>
      <c r="U67" s="1105">
        <f>IF($U$2&lt;4,SUMIFS(РегСкидка!$C$3:$C$619,РегСкидка!$D$3:$D$619,$P$6,РегСкидка!$B$3:$B$619,S67,РегСкидка!$E$3:$E$619,$U$7)/100*IF(OR($U$3=1, $U$3=2,$U$3=3,$U$3=4),1,0),0)</f>
        <v>0</v>
      </c>
    </row>
    <row r="68" spans="1:21" ht="15" customHeight="1" x14ac:dyDescent="0.2">
      <c r="A68" s="1315"/>
      <c r="B68" s="382"/>
      <c r="C68" s="395">
        <v>1200</v>
      </c>
      <c r="D68" s="359">
        <v>600</v>
      </c>
      <c r="E68" s="394">
        <v>110</v>
      </c>
      <c r="F68" s="395" t="s">
        <v>46</v>
      </c>
      <c r="G68" s="379">
        <v>2</v>
      </c>
      <c r="H68" s="361">
        <v>0.15840000000000001</v>
      </c>
      <c r="I68" s="379">
        <v>40</v>
      </c>
      <c r="J68" s="396">
        <v>6.3360000000000003</v>
      </c>
      <c r="K68" s="381">
        <v>69.695999999999998</v>
      </c>
      <c r="L68" s="361"/>
      <c r="M68" s="356">
        <f t="shared" si="3"/>
        <v>1009.008</v>
      </c>
      <c r="N68" s="346">
        <f t="shared" si="8"/>
        <v>6370</v>
      </c>
      <c r="O68" s="357">
        <f t="shared" si="6"/>
        <v>700.7</v>
      </c>
      <c r="S68" s="1113" t="s">
        <v>429</v>
      </c>
      <c r="U68" s="1105">
        <f>IF($U$2&lt;4,SUMIFS(РегСкидка!$C$3:$C$619,РегСкидка!$D$3:$D$619,$P$6,РегСкидка!$B$3:$B$619,S68,РегСкидка!$E$3:$E$619,$U$7)/100*IF(OR($U$3=1, $U$3=2,$U$3=3,$U$3=4),1,0),0)</f>
        <v>0</v>
      </c>
    </row>
    <row r="69" spans="1:21" ht="15" customHeight="1" x14ac:dyDescent="0.2">
      <c r="A69" s="1315"/>
      <c r="B69" s="348" t="s">
        <v>320</v>
      </c>
      <c r="C69" s="395">
        <v>1200</v>
      </c>
      <c r="D69" s="359">
        <v>600</v>
      </c>
      <c r="E69" s="394">
        <v>120</v>
      </c>
      <c r="F69" s="395" t="s">
        <v>46</v>
      </c>
      <c r="G69" s="379">
        <v>2</v>
      </c>
      <c r="H69" s="361">
        <v>0.17280000000000001</v>
      </c>
      <c r="I69" s="379">
        <v>40</v>
      </c>
      <c r="J69" s="396">
        <v>6.9120000000000008</v>
      </c>
      <c r="K69" s="381">
        <v>76.032000000000011</v>
      </c>
      <c r="L69" s="361"/>
      <c r="M69" s="356">
        <f t="shared" si="3"/>
        <v>1100.7360000000001</v>
      </c>
      <c r="N69" s="346">
        <f t="shared" si="8"/>
        <v>6370</v>
      </c>
      <c r="O69" s="357">
        <f t="shared" si="6"/>
        <v>764.4</v>
      </c>
      <c r="S69" s="1113" t="s">
        <v>429</v>
      </c>
      <c r="U69" s="1105">
        <f>IF($U$2&lt;4,SUMIFS(РегСкидка!$C$3:$C$619,РегСкидка!$D$3:$D$619,$P$6,РегСкидка!$B$3:$B$619,S69,РегСкидка!$E$3:$E$619,$U$7)/100*IF(OR($U$3=1, $U$3=2,$U$3=3,$U$3=4),1,0),0)</f>
        <v>0</v>
      </c>
    </row>
    <row r="70" spans="1:21" ht="15" customHeight="1" x14ac:dyDescent="0.2">
      <c r="A70" s="1315"/>
      <c r="B70" s="382"/>
      <c r="C70" s="395">
        <v>1200</v>
      </c>
      <c r="D70" s="359">
        <v>600</v>
      </c>
      <c r="E70" s="394">
        <v>130</v>
      </c>
      <c r="F70" s="395" t="s">
        <v>46</v>
      </c>
      <c r="G70" s="379">
        <v>2</v>
      </c>
      <c r="H70" s="361">
        <v>0.18720000000000001</v>
      </c>
      <c r="I70" s="379">
        <v>36</v>
      </c>
      <c r="J70" s="396">
        <v>6.7392000000000003</v>
      </c>
      <c r="K70" s="381">
        <v>74.131200000000007</v>
      </c>
      <c r="L70" s="361"/>
      <c r="M70" s="356">
        <f t="shared" si="3"/>
        <v>1192.4639999999999</v>
      </c>
      <c r="N70" s="346">
        <f t="shared" si="8"/>
        <v>6370</v>
      </c>
      <c r="O70" s="357">
        <f t="shared" si="6"/>
        <v>828.1</v>
      </c>
      <c r="S70" s="1113" t="s">
        <v>429</v>
      </c>
      <c r="U70" s="1105">
        <f>IF($U$2&lt;4,SUMIFS(РегСкидка!$C$3:$C$619,РегСкидка!$D$3:$D$619,$P$6,РегСкидка!$B$3:$B$619,S70,РегСкидка!$E$3:$E$619,$U$7)/100*IF(OR($U$3=1, $U$3=2,$U$3=3,$U$3=4),1,0),0)</f>
        <v>0</v>
      </c>
    </row>
    <row r="71" spans="1:21" ht="15" customHeight="1" x14ac:dyDescent="0.2">
      <c r="A71" s="1315"/>
      <c r="B71" s="382"/>
      <c r="C71" s="395">
        <v>1200</v>
      </c>
      <c r="D71" s="359">
        <v>600</v>
      </c>
      <c r="E71" s="394">
        <v>140</v>
      </c>
      <c r="F71" s="395" t="s">
        <v>46</v>
      </c>
      <c r="G71" s="379">
        <v>2</v>
      </c>
      <c r="H71" s="361">
        <v>0.2016</v>
      </c>
      <c r="I71" s="379">
        <v>32</v>
      </c>
      <c r="J71" s="396">
        <v>6.4512</v>
      </c>
      <c r="K71" s="381">
        <v>70.963200000000001</v>
      </c>
      <c r="L71" s="361"/>
      <c r="M71" s="356">
        <f t="shared" si="3"/>
        <v>1284.192</v>
      </c>
      <c r="N71" s="346">
        <f t="shared" si="8"/>
        <v>6370</v>
      </c>
      <c r="O71" s="357">
        <f t="shared" si="6"/>
        <v>891.8</v>
      </c>
      <c r="S71" s="1113" t="s">
        <v>429</v>
      </c>
      <c r="U71" s="1105">
        <f>IF($U$2&lt;4,SUMIFS(РегСкидка!$C$3:$C$619,РегСкидка!$D$3:$D$619,$P$6,РегСкидка!$B$3:$B$619,S71,РегСкидка!$E$3:$E$619,$U$7)/100*IF(OR($U$3=1, $U$3=2,$U$3=3,$U$3=4),1,0),0)</f>
        <v>0</v>
      </c>
    </row>
    <row r="72" spans="1:21" ht="15" customHeight="1" x14ac:dyDescent="0.2">
      <c r="A72" s="1315"/>
      <c r="B72" s="348" t="s">
        <v>321</v>
      </c>
      <c r="C72" s="395">
        <v>1200</v>
      </c>
      <c r="D72" s="359">
        <v>600</v>
      </c>
      <c r="E72" s="394">
        <v>150</v>
      </c>
      <c r="F72" s="395" t="s">
        <v>46</v>
      </c>
      <c r="G72" s="379">
        <v>2</v>
      </c>
      <c r="H72" s="361">
        <v>0.216</v>
      </c>
      <c r="I72" s="379">
        <v>32</v>
      </c>
      <c r="J72" s="396">
        <v>6.9119999999999999</v>
      </c>
      <c r="K72" s="381">
        <v>76.031999999999996</v>
      </c>
      <c r="L72" s="361"/>
      <c r="M72" s="356">
        <f t="shared" si="3"/>
        <v>1375.92</v>
      </c>
      <c r="N72" s="346">
        <f t="shared" si="8"/>
        <v>6370</v>
      </c>
      <c r="O72" s="357">
        <f t="shared" si="6"/>
        <v>955.5</v>
      </c>
      <c r="S72" s="1113" t="s">
        <v>429</v>
      </c>
      <c r="U72" s="1105">
        <f>IF($U$2&lt;4,SUMIFS(РегСкидка!$C$3:$C$619,РегСкидка!$D$3:$D$619,$P$6,РегСкидка!$B$3:$B$619,S72,РегСкидка!$E$3:$E$619,$U$7)/100*IF(OR($U$3=1, $U$3=2,$U$3=3,$U$3=4),1,0),0)</f>
        <v>0</v>
      </c>
    </row>
    <row r="73" spans="1:21" ht="15" customHeight="1" x14ac:dyDescent="0.2">
      <c r="A73" s="1315"/>
      <c r="B73" s="382"/>
      <c r="C73" s="395">
        <v>1200</v>
      </c>
      <c r="D73" s="359">
        <v>600</v>
      </c>
      <c r="E73" s="394">
        <v>160</v>
      </c>
      <c r="F73" s="395" t="s">
        <v>46</v>
      </c>
      <c r="G73" s="379">
        <v>2</v>
      </c>
      <c r="H73" s="361">
        <v>0.23039999999999999</v>
      </c>
      <c r="I73" s="379">
        <v>28</v>
      </c>
      <c r="J73" s="396">
        <v>6.4512</v>
      </c>
      <c r="K73" s="381">
        <v>70.963200000000001</v>
      </c>
      <c r="L73" s="361"/>
      <c r="M73" s="356">
        <f t="shared" si="3"/>
        <v>1467.6479999999999</v>
      </c>
      <c r="N73" s="346">
        <f t="shared" si="8"/>
        <v>6370</v>
      </c>
      <c r="O73" s="357">
        <f t="shared" si="6"/>
        <v>1019.2</v>
      </c>
      <c r="S73" s="1113" t="s">
        <v>429</v>
      </c>
      <c r="U73" s="1105">
        <f>IF($U$2&lt;4,SUMIFS(РегСкидка!$C$3:$C$619,РегСкидка!$D$3:$D$619,$P$6,РегСкидка!$B$3:$B$619,S73,РегСкидка!$E$3:$E$619,$U$7)/100*IF(OR($U$3=1, $U$3=2,$U$3=3,$U$3=4),1,0),0)</f>
        <v>0</v>
      </c>
    </row>
    <row r="74" spans="1:21" ht="15" customHeight="1" x14ac:dyDescent="0.2">
      <c r="A74" s="1315"/>
      <c r="B74" s="382"/>
      <c r="C74" s="395">
        <v>1200</v>
      </c>
      <c r="D74" s="359">
        <v>600</v>
      </c>
      <c r="E74" s="394">
        <v>170</v>
      </c>
      <c r="F74" s="395" t="s">
        <v>46</v>
      </c>
      <c r="G74" s="379">
        <v>2</v>
      </c>
      <c r="H74" s="361">
        <v>0.24479999999999999</v>
      </c>
      <c r="I74" s="379">
        <v>28</v>
      </c>
      <c r="J74" s="396">
        <v>6.8544</v>
      </c>
      <c r="K74" s="381">
        <v>75.398399999999995</v>
      </c>
      <c r="L74" s="361"/>
      <c r="M74" s="356">
        <f t="shared" si="3"/>
        <v>1559.376</v>
      </c>
      <c r="N74" s="346">
        <f t="shared" si="8"/>
        <v>6370</v>
      </c>
      <c r="O74" s="357">
        <f t="shared" ref="O74:O105" si="9">N74*E74/1000</f>
        <v>1082.9000000000001</v>
      </c>
      <c r="S74" s="1113" t="s">
        <v>429</v>
      </c>
      <c r="U74" s="1105">
        <f>IF($U$2&lt;4,SUMIFS(РегСкидка!$C$3:$C$619,РегСкидка!$D$3:$D$619,$P$6,РегСкидка!$B$3:$B$619,S74,РегСкидка!$E$3:$E$619,$U$7)/100*IF(OR($U$3=1, $U$3=2,$U$3=3,$U$3=4),1,0),0)</f>
        <v>0</v>
      </c>
    </row>
    <row r="75" spans="1:21" ht="15" customHeight="1" x14ac:dyDescent="0.2">
      <c r="A75" s="1315"/>
      <c r="B75" s="382"/>
      <c r="C75" s="395">
        <v>1200</v>
      </c>
      <c r="D75" s="359">
        <v>600</v>
      </c>
      <c r="E75" s="394">
        <v>180</v>
      </c>
      <c r="F75" s="395" t="s">
        <v>46</v>
      </c>
      <c r="G75" s="379">
        <v>2</v>
      </c>
      <c r="H75" s="361">
        <v>0.25919999999999999</v>
      </c>
      <c r="I75" s="379">
        <v>26</v>
      </c>
      <c r="J75" s="396">
        <v>6.7391999999999994</v>
      </c>
      <c r="K75" s="381">
        <v>74.131199999999993</v>
      </c>
      <c r="L75" s="361"/>
      <c r="M75" s="356">
        <f t="shared" si="3"/>
        <v>1651.1039999999998</v>
      </c>
      <c r="N75" s="346">
        <f t="shared" si="8"/>
        <v>6370</v>
      </c>
      <c r="O75" s="357">
        <f t="shared" si="9"/>
        <v>1146.5999999999999</v>
      </c>
      <c r="S75" s="1113" t="s">
        <v>429</v>
      </c>
      <c r="U75" s="1105">
        <f>IF($U$2&lt;4,SUMIFS(РегСкидка!$C$3:$C$619,РегСкидка!$D$3:$D$619,$P$6,РегСкидка!$B$3:$B$619,S75,РегСкидка!$E$3:$E$619,$U$7)/100*IF(OR($U$3=1, $U$3=2,$U$3=3,$U$3=4),1,0),0)</f>
        <v>0</v>
      </c>
    </row>
    <row r="76" spans="1:21" ht="15" customHeight="1" x14ac:dyDescent="0.2">
      <c r="A76" s="1315"/>
      <c r="B76" s="382"/>
      <c r="C76" s="395">
        <v>1200</v>
      </c>
      <c r="D76" s="359">
        <v>600</v>
      </c>
      <c r="E76" s="394">
        <v>190</v>
      </c>
      <c r="F76" s="395" t="s">
        <v>46</v>
      </c>
      <c r="G76" s="379">
        <v>2</v>
      </c>
      <c r="H76" s="361">
        <v>0.27360000000000001</v>
      </c>
      <c r="I76" s="379">
        <v>24</v>
      </c>
      <c r="J76" s="396">
        <v>6.5663999999999998</v>
      </c>
      <c r="K76" s="381">
        <v>72.230400000000003</v>
      </c>
      <c r="L76" s="361"/>
      <c r="M76" s="356">
        <f t="shared" ref="M76:M112" si="10">N76*H76</f>
        <v>1742.8320000000001</v>
      </c>
      <c r="N76" s="346">
        <f t="shared" si="8"/>
        <v>6370</v>
      </c>
      <c r="O76" s="357">
        <f t="shared" si="9"/>
        <v>1210.3</v>
      </c>
      <c r="S76" s="1113" t="s">
        <v>429</v>
      </c>
      <c r="U76" s="1105">
        <f>IF($U$2&lt;4,SUMIFS(РегСкидка!$C$3:$C$619,РегСкидка!$D$3:$D$619,$P$6,РегСкидка!$B$3:$B$619,S76,РегСкидка!$E$3:$E$619,$U$7)/100*IF(OR($U$3=1, $U$3=2,$U$3=3,$U$3=4),1,0),0)</f>
        <v>0</v>
      </c>
    </row>
    <row r="77" spans="1:21" ht="15" customHeight="1" thickBot="1" x14ac:dyDescent="0.25">
      <c r="A77" s="1316"/>
      <c r="B77" s="421"/>
      <c r="C77" s="422">
        <v>1200</v>
      </c>
      <c r="D77" s="367">
        <v>600</v>
      </c>
      <c r="E77" s="423">
        <v>200</v>
      </c>
      <c r="F77" s="422" t="s">
        <v>46</v>
      </c>
      <c r="G77" s="424">
        <v>2</v>
      </c>
      <c r="H77" s="370">
        <v>0.28799999999999998</v>
      </c>
      <c r="I77" s="424">
        <v>24</v>
      </c>
      <c r="J77" s="425">
        <v>6.911999999999999</v>
      </c>
      <c r="K77" s="373">
        <v>76.031999999999982</v>
      </c>
      <c r="L77" s="370"/>
      <c r="M77" s="426">
        <f t="shared" si="10"/>
        <v>1834.56</v>
      </c>
      <c r="N77" s="375">
        <f t="shared" si="8"/>
        <v>6370</v>
      </c>
      <c r="O77" s="515">
        <f t="shared" si="9"/>
        <v>1274</v>
      </c>
      <c r="S77" s="1113" t="s">
        <v>429</v>
      </c>
      <c r="U77" s="1105">
        <f>IF($U$2&lt;4,SUMIFS(РегСкидка!$C$3:$C$619,РегСкидка!$D$3:$D$619,$P$6,РегСкидка!$B$3:$B$619,S77,РегСкидка!$E$3:$E$619,$U$7)/100*IF(OR($U$3=1, $U$3=2,$U$3=3,$U$3=4),1,0),0)</f>
        <v>0</v>
      </c>
    </row>
    <row r="78" spans="1:21" ht="15" customHeight="1" x14ac:dyDescent="0.2">
      <c r="A78" s="376" t="s">
        <v>322</v>
      </c>
      <c r="B78" s="428" t="s">
        <v>323</v>
      </c>
      <c r="C78" s="429">
        <v>1200</v>
      </c>
      <c r="D78" s="430">
        <v>600</v>
      </c>
      <c r="E78" s="431">
        <v>50</v>
      </c>
      <c r="F78" s="395" t="s">
        <v>46</v>
      </c>
      <c r="G78" s="432">
        <v>6</v>
      </c>
      <c r="H78" s="433">
        <v>0.216</v>
      </c>
      <c r="I78" s="432">
        <v>32</v>
      </c>
      <c r="J78" s="434">
        <v>6.9119999999999999</v>
      </c>
      <c r="K78" s="381">
        <v>76.031999999999996</v>
      </c>
      <c r="L78" s="433"/>
      <c r="M78" s="356">
        <f t="shared" si="10"/>
        <v>987.55200000000002</v>
      </c>
      <c r="N78" s="516">
        <v>4572</v>
      </c>
      <c r="O78" s="357">
        <f t="shared" si="9"/>
        <v>228.6</v>
      </c>
      <c r="S78" s="1113" t="s">
        <v>429</v>
      </c>
      <c r="U78" s="1105">
        <f>IF($U$2&lt;4,SUMIFS(РегСкидка!$C$3:$C$619,РегСкидка!$D$3:$D$619,$P$6,РегСкидка!$B$3:$B$619,S78,РегСкидка!$E$3:$E$619,$U$7)/100*IF(OR($U$3=1, $U$3=2,$U$3=3,$U$3=4),1,0),0)</f>
        <v>0</v>
      </c>
    </row>
    <row r="79" spans="1:21" ht="15" customHeight="1" x14ac:dyDescent="0.2">
      <c r="A79" s="393" t="s">
        <v>324</v>
      </c>
      <c r="B79" s="435" t="s">
        <v>325</v>
      </c>
      <c r="C79" s="395">
        <v>1200</v>
      </c>
      <c r="D79" s="359">
        <v>600</v>
      </c>
      <c r="E79" s="394">
        <v>60</v>
      </c>
      <c r="F79" s="395" t="s">
        <v>46</v>
      </c>
      <c r="G79" s="379">
        <v>4</v>
      </c>
      <c r="H79" s="361">
        <v>0.17280000000000001</v>
      </c>
      <c r="I79" s="379">
        <v>40</v>
      </c>
      <c r="J79" s="396">
        <v>6.9120000000000008</v>
      </c>
      <c r="K79" s="381">
        <v>76.032000000000011</v>
      </c>
      <c r="L79" s="361"/>
      <c r="M79" s="356">
        <f t="shared" si="10"/>
        <v>790.04160000000002</v>
      </c>
      <c r="N79" s="346">
        <f>N78</f>
        <v>4572</v>
      </c>
      <c r="O79" s="357">
        <f t="shared" si="9"/>
        <v>274.32</v>
      </c>
      <c r="S79" s="1113" t="s">
        <v>429</v>
      </c>
      <c r="U79" s="1105">
        <f>IF($U$2&lt;4,SUMIFS(РегСкидка!$C$3:$C$619,РегСкидка!$D$3:$D$619,$P$6,РегСкидка!$B$3:$B$619,S79,РегСкидка!$E$3:$E$619,$U$7)/100*IF(OR($U$3=1, $U$3=2,$U$3=3,$U$3=4),1,0),0)</f>
        <v>0</v>
      </c>
    </row>
    <row r="80" spans="1:21" ht="15" customHeight="1" x14ac:dyDescent="0.2">
      <c r="A80" s="1317" t="s">
        <v>28</v>
      </c>
      <c r="B80" s="420"/>
      <c r="C80" s="395">
        <v>1200</v>
      </c>
      <c r="D80" s="359">
        <v>600</v>
      </c>
      <c r="E80" s="394">
        <v>70</v>
      </c>
      <c r="F80" s="395" t="s">
        <v>46</v>
      </c>
      <c r="G80" s="379">
        <v>4</v>
      </c>
      <c r="H80" s="361">
        <v>0.2016</v>
      </c>
      <c r="I80" s="379">
        <v>32</v>
      </c>
      <c r="J80" s="396">
        <v>6.4512</v>
      </c>
      <c r="K80" s="381">
        <v>70.963200000000001</v>
      </c>
      <c r="L80" s="361"/>
      <c r="M80" s="356">
        <f t="shared" si="10"/>
        <v>921.71519999999998</v>
      </c>
      <c r="N80" s="346">
        <f t="shared" ref="N80:N92" si="11">N79</f>
        <v>4572</v>
      </c>
      <c r="O80" s="357">
        <f t="shared" si="9"/>
        <v>320.04000000000002</v>
      </c>
      <c r="S80" s="1113" t="s">
        <v>429</v>
      </c>
      <c r="U80" s="1105">
        <f>IF($U$2&lt;4,SUMIFS(РегСкидка!$C$3:$C$619,РегСкидка!$D$3:$D$619,$P$6,РегСкидка!$B$3:$B$619,S80,РегСкидка!$E$3:$E$619,$U$7)/100*IF(OR($U$3=1, $U$3=2,$U$3=3,$U$3=4),1,0),0)</f>
        <v>0</v>
      </c>
    </row>
    <row r="81" spans="1:21" ht="15" customHeight="1" x14ac:dyDescent="0.2">
      <c r="A81" s="1317"/>
      <c r="B81" s="435" t="s">
        <v>326</v>
      </c>
      <c r="C81" s="395">
        <v>1200</v>
      </c>
      <c r="D81" s="359">
        <v>600</v>
      </c>
      <c r="E81" s="394">
        <v>80</v>
      </c>
      <c r="F81" s="395" t="s">
        <v>46</v>
      </c>
      <c r="G81" s="379">
        <v>3</v>
      </c>
      <c r="H81" s="361">
        <v>0.17280000000000001</v>
      </c>
      <c r="I81" s="379">
        <v>40</v>
      </c>
      <c r="J81" s="396">
        <v>6.9120000000000008</v>
      </c>
      <c r="K81" s="381">
        <v>76.032000000000011</v>
      </c>
      <c r="L81" s="361"/>
      <c r="M81" s="356">
        <f t="shared" si="10"/>
        <v>790.04160000000002</v>
      </c>
      <c r="N81" s="346">
        <f t="shared" si="11"/>
        <v>4572</v>
      </c>
      <c r="O81" s="357">
        <f t="shared" si="9"/>
        <v>365.76</v>
      </c>
      <c r="S81" s="1113" t="s">
        <v>430</v>
      </c>
      <c r="U81" s="1105">
        <f>IF($U$2&lt;4,SUMIFS(РегСкидка!$C$3:$C$619,РегСкидка!$D$3:$D$619,$P$6,РегСкидка!$B$3:$B$619,S81,РегСкидка!$E$3:$E$619,$U$7)/100*IF(OR($U$3=1, $U$3=2,$U$3=3,$U$3=4),1,0),0)</f>
        <v>0</v>
      </c>
    </row>
    <row r="82" spans="1:21" ht="15" customHeight="1" x14ac:dyDescent="0.2">
      <c r="A82" s="1317"/>
      <c r="B82" s="420"/>
      <c r="C82" s="395">
        <v>1200</v>
      </c>
      <c r="D82" s="359">
        <v>600</v>
      </c>
      <c r="E82" s="394">
        <v>90</v>
      </c>
      <c r="F82" s="395" t="s">
        <v>46</v>
      </c>
      <c r="G82" s="379">
        <v>3</v>
      </c>
      <c r="H82" s="361">
        <v>0.19439999999999999</v>
      </c>
      <c r="I82" s="379">
        <v>32</v>
      </c>
      <c r="J82" s="396">
        <v>6.2207999999999997</v>
      </c>
      <c r="K82" s="381">
        <v>68.428799999999995</v>
      </c>
      <c r="L82" s="361"/>
      <c r="M82" s="356">
        <f t="shared" si="10"/>
        <v>888.79679999999996</v>
      </c>
      <c r="N82" s="346">
        <f t="shared" si="11"/>
        <v>4572</v>
      </c>
      <c r="O82" s="357">
        <f t="shared" si="9"/>
        <v>411.48</v>
      </c>
      <c r="S82" s="1113" t="s">
        <v>430</v>
      </c>
      <c r="U82" s="1105">
        <f>IF($U$2&lt;4,SUMIFS(РегСкидка!$C$3:$C$619,РегСкидка!$D$3:$D$619,$P$6,РегСкидка!$B$3:$B$619,S82,РегСкидка!$E$3:$E$619,$U$7)/100*IF(OR($U$3=1, $U$3=2,$U$3=3,$U$3=4),1,0),0)</f>
        <v>0</v>
      </c>
    </row>
    <row r="83" spans="1:21" ht="15" customHeight="1" x14ac:dyDescent="0.2">
      <c r="A83" s="1317"/>
      <c r="B83" s="435" t="s">
        <v>327</v>
      </c>
      <c r="C83" s="395">
        <v>1200</v>
      </c>
      <c r="D83" s="359">
        <v>600</v>
      </c>
      <c r="E83" s="394">
        <v>100</v>
      </c>
      <c r="F83" s="416" t="s">
        <v>297</v>
      </c>
      <c r="G83" s="379">
        <v>3</v>
      </c>
      <c r="H83" s="361">
        <v>0.216</v>
      </c>
      <c r="I83" s="379">
        <v>32</v>
      </c>
      <c r="J83" s="396">
        <v>6.9119999999999999</v>
      </c>
      <c r="K83" s="381">
        <v>76.031999999999996</v>
      </c>
      <c r="L83" s="361"/>
      <c r="M83" s="356">
        <f t="shared" si="10"/>
        <v>987.55200000000002</v>
      </c>
      <c r="N83" s="346">
        <f t="shared" si="11"/>
        <v>4572</v>
      </c>
      <c r="O83" s="357">
        <f t="shared" si="9"/>
        <v>457.2</v>
      </c>
      <c r="S83" s="1113" t="s">
        <v>430</v>
      </c>
      <c r="U83" s="1105">
        <f>IF($U$2&lt;4,SUMIFS(РегСкидка!$C$3:$C$619,РегСкидка!$D$3:$D$619,$P$6,РегСкидка!$B$3:$B$619,S83,РегСкидка!$E$3:$E$619,$U$7)/100*IF(OR($U$3=1, $U$3=2,$U$3=3,$U$3=4),1,0),0)</f>
        <v>0</v>
      </c>
    </row>
    <row r="84" spans="1:21" ht="15" customHeight="1" x14ac:dyDescent="0.2">
      <c r="A84" s="1317"/>
      <c r="B84" s="435" t="s">
        <v>328</v>
      </c>
      <c r="C84" s="395">
        <v>1200</v>
      </c>
      <c r="D84" s="359">
        <v>600</v>
      </c>
      <c r="E84" s="394">
        <v>110</v>
      </c>
      <c r="F84" s="395" t="s">
        <v>46</v>
      </c>
      <c r="G84" s="379">
        <v>3</v>
      </c>
      <c r="H84" s="361">
        <v>0.23760000000000001</v>
      </c>
      <c r="I84" s="379">
        <v>28</v>
      </c>
      <c r="J84" s="396">
        <v>6.6528</v>
      </c>
      <c r="K84" s="381">
        <v>73.180800000000005</v>
      </c>
      <c r="L84" s="361"/>
      <c r="M84" s="356">
        <f t="shared" si="10"/>
        <v>1086.3072</v>
      </c>
      <c r="N84" s="346">
        <f t="shared" si="11"/>
        <v>4572</v>
      </c>
      <c r="O84" s="357">
        <f t="shared" si="9"/>
        <v>502.92</v>
      </c>
      <c r="S84" s="1113" t="s">
        <v>430</v>
      </c>
      <c r="U84" s="1105">
        <f>IF($U$2&lt;4,SUMIFS(РегСкидка!$C$3:$C$619,РегСкидка!$D$3:$D$619,$P$6,РегСкидка!$B$3:$B$619,S84,РегСкидка!$E$3:$E$619,$U$7)/100*IF(OR($U$3=1, $U$3=2,$U$3=3,$U$3=4),1,0),0)</f>
        <v>0</v>
      </c>
    </row>
    <row r="85" spans="1:21" ht="15" customHeight="1" x14ac:dyDescent="0.2">
      <c r="A85" s="1317"/>
      <c r="B85" s="435" t="s">
        <v>329</v>
      </c>
      <c r="C85" s="395">
        <v>1200</v>
      </c>
      <c r="D85" s="359">
        <v>600</v>
      </c>
      <c r="E85" s="394">
        <v>120</v>
      </c>
      <c r="F85" s="395" t="s">
        <v>46</v>
      </c>
      <c r="G85" s="379">
        <v>2</v>
      </c>
      <c r="H85" s="361">
        <v>0.17280000000000001</v>
      </c>
      <c r="I85" s="379">
        <v>40</v>
      </c>
      <c r="J85" s="396">
        <v>6.9120000000000008</v>
      </c>
      <c r="K85" s="381">
        <v>76.032000000000011</v>
      </c>
      <c r="L85" s="361"/>
      <c r="M85" s="356">
        <f t="shared" si="10"/>
        <v>790.04160000000002</v>
      </c>
      <c r="N85" s="346">
        <f t="shared" si="11"/>
        <v>4572</v>
      </c>
      <c r="O85" s="357">
        <f t="shared" si="9"/>
        <v>548.64</v>
      </c>
      <c r="S85" s="1113" t="s">
        <v>430</v>
      </c>
      <c r="U85" s="1105">
        <f>IF($U$2&lt;4,SUMIFS(РегСкидка!$C$3:$C$619,РегСкидка!$D$3:$D$619,$P$6,РегСкидка!$B$3:$B$619,S85,РегСкидка!$E$3:$E$619,$U$7)/100*IF(OR($U$3=1, $U$3=2,$U$3=3,$U$3=4),1,0),0)</f>
        <v>0</v>
      </c>
    </row>
    <row r="86" spans="1:21" ht="15" customHeight="1" x14ac:dyDescent="0.2">
      <c r="A86" s="1317"/>
      <c r="B86" s="435" t="s">
        <v>330</v>
      </c>
      <c r="C86" s="395">
        <v>1200</v>
      </c>
      <c r="D86" s="359">
        <v>600</v>
      </c>
      <c r="E86" s="394">
        <v>130</v>
      </c>
      <c r="F86" s="395" t="s">
        <v>46</v>
      </c>
      <c r="G86" s="379">
        <v>2</v>
      </c>
      <c r="H86" s="361">
        <v>0.18720000000000001</v>
      </c>
      <c r="I86" s="379">
        <v>36</v>
      </c>
      <c r="J86" s="396">
        <v>6.7392000000000003</v>
      </c>
      <c r="K86" s="381">
        <v>74.131200000000007</v>
      </c>
      <c r="L86" s="361"/>
      <c r="M86" s="356">
        <f t="shared" si="10"/>
        <v>855.87840000000006</v>
      </c>
      <c r="N86" s="346">
        <f t="shared" si="11"/>
        <v>4572</v>
      </c>
      <c r="O86" s="357">
        <f t="shared" si="9"/>
        <v>594.36</v>
      </c>
      <c r="S86" s="1113" t="s">
        <v>430</v>
      </c>
      <c r="U86" s="1105">
        <f>IF($U$2&lt;4,SUMIFS(РегСкидка!$C$3:$C$619,РегСкидка!$D$3:$D$619,$P$6,РегСкидка!$B$3:$B$619,S86,РегСкидка!$E$3:$E$619,$U$7)/100*IF(OR($U$3=1, $U$3=2,$U$3=3,$U$3=4),1,0),0)</f>
        <v>0</v>
      </c>
    </row>
    <row r="87" spans="1:21" ht="15" customHeight="1" x14ac:dyDescent="0.2">
      <c r="A87" s="1317"/>
      <c r="B87" s="420"/>
      <c r="C87" s="395">
        <v>1200</v>
      </c>
      <c r="D87" s="359">
        <v>600</v>
      </c>
      <c r="E87" s="394">
        <v>140</v>
      </c>
      <c r="F87" s="395" t="s">
        <v>46</v>
      </c>
      <c r="G87" s="379">
        <v>2</v>
      </c>
      <c r="H87" s="361">
        <v>0.2016</v>
      </c>
      <c r="I87" s="379">
        <v>36</v>
      </c>
      <c r="J87" s="396">
        <v>6.4512</v>
      </c>
      <c r="K87" s="381">
        <v>70.963200000000001</v>
      </c>
      <c r="L87" s="361"/>
      <c r="M87" s="356">
        <f t="shared" si="10"/>
        <v>921.71519999999998</v>
      </c>
      <c r="N87" s="346">
        <f t="shared" si="11"/>
        <v>4572</v>
      </c>
      <c r="O87" s="357">
        <f t="shared" si="9"/>
        <v>640.08000000000004</v>
      </c>
      <c r="S87" s="1113" t="s">
        <v>430</v>
      </c>
      <c r="U87" s="1105">
        <f>IF($U$2&lt;4,SUMIFS(РегСкидка!$C$3:$C$619,РегСкидка!$D$3:$D$619,$P$6,РегСкидка!$B$3:$B$619,S87,РегСкидка!$E$3:$E$619,$U$7)/100*IF(OR($U$3=1, $U$3=2,$U$3=3,$U$3=4),1,0),0)</f>
        <v>0</v>
      </c>
    </row>
    <row r="88" spans="1:21" ht="15" customHeight="1" x14ac:dyDescent="0.2">
      <c r="A88" s="1317"/>
      <c r="B88" s="435" t="s">
        <v>331</v>
      </c>
      <c r="C88" s="395">
        <v>1200</v>
      </c>
      <c r="D88" s="359">
        <v>600</v>
      </c>
      <c r="E88" s="394">
        <v>150</v>
      </c>
      <c r="F88" s="395" t="s">
        <v>46</v>
      </c>
      <c r="G88" s="379">
        <v>2</v>
      </c>
      <c r="H88" s="361">
        <v>0.216</v>
      </c>
      <c r="I88" s="379">
        <v>32</v>
      </c>
      <c r="J88" s="396">
        <v>6.9119999999999999</v>
      </c>
      <c r="K88" s="381">
        <v>76.031999999999996</v>
      </c>
      <c r="L88" s="361"/>
      <c r="M88" s="356">
        <f t="shared" si="10"/>
        <v>987.55200000000002</v>
      </c>
      <c r="N88" s="346">
        <f t="shared" si="11"/>
        <v>4572</v>
      </c>
      <c r="O88" s="357">
        <f t="shared" si="9"/>
        <v>685.8</v>
      </c>
      <c r="S88" s="1113" t="s">
        <v>430</v>
      </c>
      <c r="U88" s="1105">
        <f>IF($U$2&lt;4,SUMIFS(РегСкидка!$C$3:$C$619,РегСкидка!$D$3:$D$619,$P$6,РегСкидка!$B$3:$B$619,S88,РегСкидка!$E$3:$E$619,$U$7)/100*IF(OR($U$3=1, $U$3=2,$U$3=3,$U$3=4),1,0),0)</f>
        <v>0</v>
      </c>
    </row>
    <row r="89" spans="1:21" ht="15" customHeight="1" x14ac:dyDescent="0.2">
      <c r="A89" s="1317"/>
      <c r="B89" s="420"/>
      <c r="C89" s="395">
        <v>1200</v>
      </c>
      <c r="D89" s="359">
        <v>600</v>
      </c>
      <c r="E89" s="394">
        <v>160</v>
      </c>
      <c r="F89" s="395" t="s">
        <v>46</v>
      </c>
      <c r="G89" s="379">
        <v>2</v>
      </c>
      <c r="H89" s="361">
        <v>0.23039999999999999</v>
      </c>
      <c r="I89" s="379">
        <v>28</v>
      </c>
      <c r="J89" s="396">
        <v>6.4512</v>
      </c>
      <c r="K89" s="381">
        <v>70.963200000000001</v>
      </c>
      <c r="L89" s="361"/>
      <c r="M89" s="356">
        <f t="shared" si="10"/>
        <v>1053.3887999999999</v>
      </c>
      <c r="N89" s="346">
        <f t="shared" si="11"/>
        <v>4572</v>
      </c>
      <c r="O89" s="357">
        <f t="shared" si="9"/>
        <v>731.52</v>
      </c>
      <c r="S89" s="1113" t="s">
        <v>430</v>
      </c>
      <c r="U89" s="1105">
        <f>IF($U$2&lt;4,SUMIFS(РегСкидка!$C$3:$C$619,РегСкидка!$D$3:$D$619,$P$6,РегСкидка!$B$3:$B$619,S89,РегСкидка!$E$3:$E$619,$U$7)/100*IF(OR($U$3=1, $U$3=2,$U$3=3,$U$3=4),1,0),0)</f>
        <v>0</v>
      </c>
    </row>
    <row r="90" spans="1:21" ht="15" customHeight="1" x14ac:dyDescent="0.2">
      <c r="A90" s="1317"/>
      <c r="B90" s="382"/>
      <c r="C90" s="395">
        <v>1200</v>
      </c>
      <c r="D90" s="359">
        <v>600</v>
      </c>
      <c r="E90" s="394">
        <v>170</v>
      </c>
      <c r="F90" s="395" t="s">
        <v>46</v>
      </c>
      <c r="G90" s="379">
        <v>2</v>
      </c>
      <c r="H90" s="361">
        <v>0.24479999999999999</v>
      </c>
      <c r="I90" s="379">
        <v>28</v>
      </c>
      <c r="J90" s="396">
        <v>6.8544</v>
      </c>
      <c r="K90" s="381">
        <v>75.398399999999995</v>
      </c>
      <c r="L90" s="361"/>
      <c r="M90" s="356">
        <f t="shared" si="10"/>
        <v>1119.2256</v>
      </c>
      <c r="N90" s="346">
        <f t="shared" si="11"/>
        <v>4572</v>
      </c>
      <c r="O90" s="357">
        <f t="shared" si="9"/>
        <v>777.24</v>
      </c>
      <c r="S90" s="1113" t="s">
        <v>430</v>
      </c>
      <c r="U90" s="1105">
        <f>IF($U$2&lt;4,SUMIFS(РегСкидка!$C$3:$C$619,РегСкидка!$D$3:$D$619,$P$6,РегСкидка!$B$3:$B$619,S90,РегСкидка!$E$3:$E$619,$U$7)/100*IF(OR($U$3=1, $U$3=2,$U$3=3,$U$3=4),1,0),0)</f>
        <v>0</v>
      </c>
    </row>
    <row r="91" spans="1:21" ht="15" customHeight="1" x14ac:dyDescent="0.2">
      <c r="A91" s="1317"/>
      <c r="B91" s="382"/>
      <c r="C91" s="395">
        <v>1200</v>
      </c>
      <c r="D91" s="359">
        <v>600</v>
      </c>
      <c r="E91" s="394">
        <v>180</v>
      </c>
      <c r="F91" s="395" t="s">
        <v>46</v>
      </c>
      <c r="G91" s="379">
        <v>2</v>
      </c>
      <c r="H91" s="361">
        <v>0.25919999999999999</v>
      </c>
      <c r="I91" s="379">
        <v>24</v>
      </c>
      <c r="J91" s="396">
        <v>6.2207999999999997</v>
      </c>
      <c r="K91" s="381">
        <v>68.428799999999995</v>
      </c>
      <c r="L91" s="361"/>
      <c r="M91" s="356">
        <f t="shared" si="10"/>
        <v>1185.0624</v>
      </c>
      <c r="N91" s="346">
        <f t="shared" si="11"/>
        <v>4572</v>
      </c>
      <c r="O91" s="357">
        <f t="shared" si="9"/>
        <v>822.96</v>
      </c>
      <c r="S91" s="1113" t="s">
        <v>430</v>
      </c>
      <c r="U91" s="1105">
        <f>IF($U$2&lt;4,SUMIFS(РегСкидка!$C$3:$C$619,РегСкидка!$D$3:$D$619,$P$6,РегСкидка!$B$3:$B$619,S91,РегСкидка!$E$3:$E$619,$U$7)/100*IF(OR($U$3=1, $U$3=2,$U$3=3,$U$3=4),1,0),0)</f>
        <v>0</v>
      </c>
    </row>
    <row r="92" spans="1:21" ht="15" customHeight="1" x14ac:dyDescent="0.2">
      <c r="A92" s="1317"/>
      <c r="B92" s="382"/>
      <c r="C92" s="395">
        <v>1200</v>
      </c>
      <c r="D92" s="359">
        <v>600</v>
      </c>
      <c r="E92" s="394">
        <v>190</v>
      </c>
      <c r="F92" s="395" t="s">
        <v>46</v>
      </c>
      <c r="G92" s="379">
        <v>2</v>
      </c>
      <c r="H92" s="361">
        <v>0.27360000000000001</v>
      </c>
      <c r="I92" s="379">
        <v>24</v>
      </c>
      <c r="J92" s="396">
        <v>6.5663999999999998</v>
      </c>
      <c r="K92" s="381">
        <v>72.230400000000003</v>
      </c>
      <c r="L92" s="361"/>
      <c r="M92" s="356">
        <f t="shared" si="10"/>
        <v>1250.8992000000001</v>
      </c>
      <c r="N92" s="346">
        <f t="shared" si="11"/>
        <v>4572</v>
      </c>
      <c r="O92" s="357">
        <f t="shared" si="9"/>
        <v>868.68</v>
      </c>
      <c r="S92" s="1113" t="s">
        <v>430</v>
      </c>
      <c r="U92" s="1105">
        <f>IF($U$2&lt;4,SUMIFS(РегСкидка!$C$3:$C$619,РегСкидка!$D$3:$D$619,$P$6,РегСкидка!$B$3:$B$619,S92,РегСкидка!$E$3:$E$619,$U$7)/100*IF(OR($U$3=1, $U$3=2,$U$3=3,$U$3=4),1,0),0)</f>
        <v>0</v>
      </c>
    </row>
    <row r="93" spans="1:21" ht="15" customHeight="1" thickBot="1" x14ac:dyDescent="0.25">
      <c r="A93" s="1318"/>
      <c r="B93" s="421"/>
      <c r="C93" s="422">
        <v>1200</v>
      </c>
      <c r="D93" s="367">
        <v>600</v>
      </c>
      <c r="E93" s="423">
        <v>200</v>
      </c>
      <c r="F93" s="422" t="s">
        <v>46</v>
      </c>
      <c r="G93" s="424">
        <v>2</v>
      </c>
      <c r="H93" s="370">
        <v>0.28799999999999998</v>
      </c>
      <c r="I93" s="424">
        <v>24</v>
      </c>
      <c r="J93" s="425">
        <v>6.911999999999999</v>
      </c>
      <c r="K93" s="373">
        <v>76.031999999999982</v>
      </c>
      <c r="L93" s="370"/>
      <c r="M93" s="426">
        <f t="shared" si="10"/>
        <v>1316.7359999999999</v>
      </c>
      <c r="N93" s="375">
        <f>N92</f>
        <v>4572</v>
      </c>
      <c r="O93" s="515">
        <f t="shared" si="9"/>
        <v>914.4</v>
      </c>
      <c r="S93" s="1113" t="s">
        <v>430</v>
      </c>
      <c r="U93" s="1105">
        <f>IF($U$2&lt;4,SUMIFS(РегСкидка!$C$3:$C$619,РегСкидка!$D$3:$D$619,$P$6,РегСкидка!$B$3:$B$619,S93,РегСкидка!$E$3:$E$619,$U$7)/100*IF(OR($U$3=1, $U$3=2,$U$3=3,$U$3=4),1,0),0)</f>
        <v>0</v>
      </c>
    </row>
    <row r="94" spans="1:21" ht="15" customHeight="1" x14ac:dyDescent="0.2">
      <c r="A94" s="376" t="s">
        <v>332</v>
      </c>
      <c r="B94" s="428">
        <v>447808</v>
      </c>
      <c r="C94" s="427">
        <v>1200</v>
      </c>
      <c r="D94" s="340">
        <v>600</v>
      </c>
      <c r="E94" s="392">
        <v>50</v>
      </c>
      <c r="F94" s="427" t="s">
        <v>46</v>
      </c>
      <c r="G94" s="342">
        <v>6</v>
      </c>
      <c r="H94" s="343">
        <v>0.14399999999999999</v>
      </c>
      <c r="I94" s="342">
        <v>32</v>
      </c>
      <c r="J94" s="344">
        <v>6.9119999999999999</v>
      </c>
      <c r="K94" s="381">
        <v>76.031999999999996</v>
      </c>
      <c r="L94" s="343"/>
      <c r="M94" s="356">
        <f t="shared" si="10"/>
        <v>951.98399999999992</v>
      </c>
      <c r="N94" s="459">
        <v>6611</v>
      </c>
      <c r="O94" s="357">
        <f t="shared" si="9"/>
        <v>330.55</v>
      </c>
      <c r="S94" s="1113" t="s">
        <v>430</v>
      </c>
      <c r="U94" s="1105">
        <f>IF($U$2&lt;4,SUMIFS(РегСкидка!$C$3:$C$619,РегСкидка!$D$3:$D$619,$P$6,РегСкидка!$B$3:$B$619,S94,РегСкидка!$E$3:$E$619,$U$7)/100*IF(OR($U$3=1, $U$3=2,$U$3=3,$U$3=4),1,0),0)</f>
        <v>0</v>
      </c>
    </row>
    <row r="95" spans="1:21" ht="15" customHeight="1" x14ac:dyDescent="0.2">
      <c r="A95" s="436" t="s">
        <v>333</v>
      </c>
      <c r="B95" s="437"/>
      <c r="C95" s="395">
        <v>1200</v>
      </c>
      <c r="D95" s="359">
        <v>600</v>
      </c>
      <c r="E95" s="394">
        <v>60</v>
      </c>
      <c r="F95" s="395" t="s">
        <v>46</v>
      </c>
      <c r="G95" s="379">
        <v>4</v>
      </c>
      <c r="H95" s="361">
        <v>0.17280000000000001</v>
      </c>
      <c r="I95" s="379">
        <v>40</v>
      </c>
      <c r="J95" s="396">
        <v>6.9120000000000008</v>
      </c>
      <c r="K95" s="381">
        <v>76.032000000000011</v>
      </c>
      <c r="L95" s="361"/>
      <c r="M95" s="356">
        <f t="shared" si="10"/>
        <v>1142.3808000000001</v>
      </c>
      <c r="N95" s="346">
        <f>N94</f>
        <v>6611</v>
      </c>
      <c r="O95" s="357">
        <f t="shared" si="9"/>
        <v>396.66</v>
      </c>
      <c r="S95" s="1113" t="s">
        <v>430</v>
      </c>
      <c r="U95" s="1105">
        <f>IF($U$2&lt;4,SUMIFS(РегСкидка!$C$3:$C$619,РегСкидка!$D$3:$D$619,$P$6,РегСкидка!$B$3:$B$619,S95,РегСкидка!$E$3:$E$619,$U$7)/100*IF(OR($U$3=1, $U$3=2,$U$3=3,$U$3=4),1,0),0)</f>
        <v>0</v>
      </c>
    </row>
    <row r="96" spans="1:21" ht="15" customHeight="1" x14ac:dyDescent="0.2">
      <c r="A96" s="1312" t="s">
        <v>32</v>
      </c>
      <c r="B96" s="437"/>
      <c r="C96" s="395">
        <v>1200</v>
      </c>
      <c r="D96" s="359">
        <v>600</v>
      </c>
      <c r="E96" s="394">
        <v>70</v>
      </c>
      <c r="F96" s="395" t="s">
        <v>46</v>
      </c>
      <c r="G96" s="379">
        <v>3</v>
      </c>
      <c r="H96" s="361">
        <v>0.1512</v>
      </c>
      <c r="I96" s="379">
        <v>44</v>
      </c>
      <c r="J96" s="396">
        <v>6.6528</v>
      </c>
      <c r="K96" s="381">
        <v>73.180800000000005</v>
      </c>
      <c r="L96" s="361"/>
      <c r="M96" s="356">
        <f t="shared" si="10"/>
        <v>999.58320000000003</v>
      </c>
      <c r="N96" s="346">
        <f t="shared" ref="N96:N108" si="12">N95</f>
        <v>6611</v>
      </c>
      <c r="O96" s="357">
        <f t="shared" si="9"/>
        <v>462.77</v>
      </c>
      <c r="S96" s="1113" t="s">
        <v>430</v>
      </c>
      <c r="U96" s="1105">
        <f>IF($U$2&lt;4,SUMIFS(РегСкидка!$C$3:$C$619,РегСкидка!$D$3:$D$619,$P$6,РегСкидка!$B$3:$B$619,S96,РегСкидка!$E$3:$E$619,$U$7)/100*IF(OR($U$3=1, $U$3=2,$U$3=3,$U$3=4),1,0),0)</f>
        <v>0</v>
      </c>
    </row>
    <row r="97" spans="1:21" ht="15" customHeight="1" x14ac:dyDescent="0.2">
      <c r="A97" s="1312"/>
      <c r="B97" s="437"/>
      <c r="C97" s="395">
        <v>1200</v>
      </c>
      <c r="D97" s="359">
        <v>600</v>
      </c>
      <c r="E97" s="394">
        <v>80</v>
      </c>
      <c r="F97" s="395" t="s">
        <v>46</v>
      </c>
      <c r="G97" s="379">
        <v>3</v>
      </c>
      <c r="H97" s="361">
        <v>0.17280000000000001</v>
      </c>
      <c r="I97" s="379">
        <v>40</v>
      </c>
      <c r="J97" s="396">
        <v>6.9120000000000008</v>
      </c>
      <c r="K97" s="381">
        <v>76.032000000000011</v>
      </c>
      <c r="L97" s="361"/>
      <c r="M97" s="356">
        <f t="shared" si="10"/>
        <v>1142.3808000000001</v>
      </c>
      <c r="N97" s="346">
        <f t="shared" si="12"/>
        <v>6611</v>
      </c>
      <c r="O97" s="357">
        <f t="shared" si="9"/>
        <v>528.88</v>
      </c>
      <c r="S97" s="1113" t="s">
        <v>430</v>
      </c>
      <c r="U97" s="1105">
        <f>IF($U$2&lt;4,SUMIFS(РегСкидка!$C$3:$C$619,РегСкидка!$D$3:$D$619,$P$6,РегСкидка!$B$3:$B$619,S97,РегСкидка!$E$3:$E$619,$U$7)/100*IF(OR($U$3=1, $U$3=2,$U$3=3,$U$3=4),1,0),0)</f>
        <v>0</v>
      </c>
    </row>
    <row r="98" spans="1:21" ht="15" customHeight="1" x14ac:dyDescent="0.2">
      <c r="A98" s="1312"/>
      <c r="B98" s="437"/>
      <c r="C98" s="395">
        <v>1200</v>
      </c>
      <c r="D98" s="359">
        <v>600</v>
      </c>
      <c r="E98" s="394">
        <v>90</v>
      </c>
      <c r="F98" s="395" t="s">
        <v>46</v>
      </c>
      <c r="G98" s="379">
        <v>2</v>
      </c>
      <c r="H98" s="361">
        <v>0.12959999999999999</v>
      </c>
      <c r="I98" s="379">
        <v>52</v>
      </c>
      <c r="J98" s="396">
        <v>6.7391999999999994</v>
      </c>
      <c r="K98" s="381">
        <v>74.131199999999993</v>
      </c>
      <c r="L98" s="361"/>
      <c r="M98" s="356">
        <f t="shared" si="10"/>
        <v>856.78559999999993</v>
      </c>
      <c r="N98" s="346">
        <f t="shared" si="12"/>
        <v>6611</v>
      </c>
      <c r="O98" s="357">
        <f t="shared" si="9"/>
        <v>594.99</v>
      </c>
      <c r="S98" s="1113" t="s">
        <v>430</v>
      </c>
      <c r="U98" s="1105">
        <f>IF($U$2&lt;4,SUMIFS(РегСкидка!$C$3:$C$619,РегСкидка!$D$3:$D$619,$P$6,РегСкидка!$B$3:$B$619,S98,РегСкидка!$E$3:$E$619,$U$7)/100*IF(OR($U$3=1, $U$3=2,$U$3=3,$U$3=4),1,0),0)</f>
        <v>0</v>
      </c>
    </row>
    <row r="99" spans="1:21" ht="15" customHeight="1" x14ac:dyDescent="0.2">
      <c r="A99" s="1312"/>
      <c r="B99" s="435" t="s">
        <v>334</v>
      </c>
      <c r="C99" s="395">
        <v>1200</v>
      </c>
      <c r="D99" s="359">
        <v>600</v>
      </c>
      <c r="E99" s="394">
        <v>100</v>
      </c>
      <c r="F99" s="395" t="s">
        <v>46</v>
      </c>
      <c r="G99" s="379">
        <v>2</v>
      </c>
      <c r="H99" s="361">
        <v>0.14399999999999999</v>
      </c>
      <c r="I99" s="379">
        <v>48</v>
      </c>
      <c r="J99" s="396">
        <v>6.9119999999999999</v>
      </c>
      <c r="K99" s="381">
        <v>76.031999999999996</v>
      </c>
      <c r="L99" s="361"/>
      <c r="M99" s="356">
        <f t="shared" si="10"/>
        <v>951.98399999999992</v>
      </c>
      <c r="N99" s="346">
        <f t="shared" si="12"/>
        <v>6611</v>
      </c>
      <c r="O99" s="357">
        <f t="shared" si="9"/>
        <v>661.1</v>
      </c>
      <c r="S99" s="1113" t="s">
        <v>430</v>
      </c>
      <c r="U99" s="1105">
        <f>IF($U$2&lt;4,SUMIFS(РегСкидка!$C$3:$C$619,РегСкидка!$D$3:$D$619,$P$6,РегСкидка!$B$3:$B$619,S99,РегСкидка!$E$3:$E$619,$U$7)/100*IF(OR($U$3=1, $U$3=2,$U$3=3,$U$3=4),1,0),0)</f>
        <v>0</v>
      </c>
    </row>
    <row r="100" spans="1:21" ht="15" customHeight="1" x14ac:dyDescent="0.2">
      <c r="A100" s="1312"/>
      <c r="B100" s="437"/>
      <c r="C100" s="395">
        <v>1200</v>
      </c>
      <c r="D100" s="359">
        <v>600</v>
      </c>
      <c r="E100" s="394">
        <v>110</v>
      </c>
      <c r="F100" s="395" t="s">
        <v>46</v>
      </c>
      <c r="G100" s="379">
        <v>2</v>
      </c>
      <c r="H100" s="361">
        <v>0.15840000000000001</v>
      </c>
      <c r="I100" s="379">
        <v>40</v>
      </c>
      <c r="J100" s="396">
        <v>6.3360000000000003</v>
      </c>
      <c r="K100" s="381">
        <v>69.695999999999998</v>
      </c>
      <c r="L100" s="361"/>
      <c r="M100" s="356">
        <f t="shared" si="10"/>
        <v>1047.1824000000001</v>
      </c>
      <c r="N100" s="346">
        <f t="shared" si="12"/>
        <v>6611</v>
      </c>
      <c r="O100" s="357">
        <f t="shared" si="9"/>
        <v>727.21</v>
      </c>
      <c r="S100" s="1113" t="s">
        <v>430</v>
      </c>
      <c r="U100" s="1105">
        <f>IF($U$2&lt;4,SUMIFS(РегСкидка!$C$3:$C$619,РегСкидка!$D$3:$D$619,$P$6,РегСкидка!$B$3:$B$619,S100,РегСкидка!$E$3:$E$619,$U$7)/100*IF(OR($U$3=1, $U$3=2,$U$3=3,$U$3=4),1,0),0)</f>
        <v>0</v>
      </c>
    </row>
    <row r="101" spans="1:21" ht="15" customHeight="1" x14ac:dyDescent="0.2">
      <c r="A101" s="1312"/>
      <c r="B101" s="437"/>
      <c r="C101" s="395">
        <v>1200</v>
      </c>
      <c r="D101" s="359">
        <v>600</v>
      </c>
      <c r="E101" s="394">
        <v>120</v>
      </c>
      <c r="F101" s="395" t="s">
        <v>46</v>
      </c>
      <c r="G101" s="379">
        <v>2</v>
      </c>
      <c r="H101" s="361">
        <v>0.17280000000000001</v>
      </c>
      <c r="I101" s="379">
        <v>40</v>
      </c>
      <c r="J101" s="396">
        <v>6.9120000000000008</v>
      </c>
      <c r="K101" s="381">
        <v>76.032000000000011</v>
      </c>
      <c r="L101" s="361"/>
      <c r="M101" s="356">
        <f t="shared" si="10"/>
        <v>1142.3808000000001</v>
      </c>
      <c r="N101" s="346">
        <f t="shared" si="12"/>
        <v>6611</v>
      </c>
      <c r="O101" s="357">
        <f t="shared" si="9"/>
        <v>793.32</v>
      </c>
      <c r="S101" s="1113" t="s">
        <v>430</v>
      </c>
      <c r="U101" s="1105">
        <f>IF($U$2&lt;4,SUMIFS(РегСкидка!$C$3:$C$619,РегСкидка!$D$3:$D$619,$P$6,РегСкидка!$B$3:$B$619,S101,РегСкидка!$E$3:$E$619,$U$7)/100*IF(OR($U$3=1, $U$3=2,$U$3=3,$U$3=4),1,0),0)</f>
        <v>0</v>
      </c>
    </row>
    <row r="102" spans="1:21" ht="15" customHeight="1" x14ac:dyDescent="0.2">
      <c r="A102" s="1312"/>
      <c r="B102" s="437"/>
      <c r="C102" s="395">
        <v>1200</v>
      </c>
      <c r="D102" s="359">
        <v>600</v>
      </c>
      <c r="E102" s="394">
        <v>130</v>
      </c>
      <c r="F102" s="395" t="s">
        <v>46</v>
      </c>
      <c r="G102" s="379">
        <v>2</v>
      </c>
      <c r="H102" s="361">
        <v>0.18720000000000001</v>
      </c>
      <c r="I102" s="379">
        <v>36</v>
      </c>
      <c r="J102" s="396">
        <v>6.7392000000000003</v>
      </c>
      <c r="K102" s="381">
        <v>74.131200000000007</v>
      </c>
      <c r="L102" s="361"/>
      <c r="M102" s="356">
        <f t="shared" si="10"/>
        <v>1237.5792000000001</v>
      </c>
      <c r="N102" s="346">
        <f t="shared" si="12"/>
        <v>6611</v>
      </c>
      <c r="O102" s="357">
        <f t="shared" si="9"/>
        <v>859.43</v>
      </c>
      <c r="S102" s="1113" t="s">
        <v>430</v>
      </c>
      <c r="U102" s="1105">
        <f>IF($U$2&lt;4,SUMIFS(РегСкидка!$C$3:$C$619,РегСкидка!$D$3:$D$619,$P$6,РегСкидка!$B$3:$B$619,S102,РегСкидка!$E$3:$E$619,$U$7)/100*IF(OR($U$3=1, $U$3=2,$U$3=3,$U$3=4),1,0),0)</f>
        <v>0</v>
      </c>
    </row>
    <row r="103" spans="1:21" ht="15" customHeight="1" x14ac:dyDescent="0.2">
      <c r="A103" s="1312"/>
      <c r="B103" s="437"/>
      <c r="C103" s="395">
        <v>1200</v>
      </c>
      <c r="D103" s="359">
        <v>600</v>
      </c>
      <c r="E103" s="394">
        <v>140</v>
      </c>
      <c r="F103" s="395" t="s">
        <v>46</v>
      </c>
      <c r="G103" s="379">
        <v>2</v>
      </c>
      <c r="H103" s="361">
        <v>0.2016</v>
      </c>
      <c r="I103" s="379">
        <v>32</v>
      </c>
      <c r="J103" s="396">
        <v>6.4512</v>
      </c>
      <c r="K103" s="381">
        <v>70.963200000000001</v>
      </c>
      <c r="L103" s="361"/>
      <c r="M103" s="356">
        <f t="shared" si="10"/>
        <v>1332.7776000000001</v>
      </c>
      <c r="N103" s="346">
        <f t="shared" si="12"/>
        <v>6611</v>
      </c>
      <c r="O103" s="357">
        <f t="shared" si="9"/>
        <v>925.54</v>
      </c>
      <c r="S103" s="1113" t="s">
        <v>430</v>
      </c>
      <c r="U103" s="1105">
        <f>IF($U$2&lt;4,SUMIFS(РегСкидка!$C$3:$C$619,РегСкидка!$D$3:$D$619,$P$6,РегСкидка!$B$3:$B$619,S103,РегСкидка!$E$3:$E$619,$U$7)/100*IF(OR($U$3=1, $U$3=2,$U$3=3,$U$3=4),1,0),0)</f>
        <v>0</v>
      </c>
    </row>
    <row r="104" spans="1:21" ht="15" customHeight="1" x14ac:dyDescent="0.2">
      <c r="A104" s="1312"/>
      <c r="B104" s="437"/>
      <c r="C104" s="395">
        <v>1200</v>
      </c>
      <c r="D104" s="359">
        <v>600</v>
      </c>
      <c r="E104" s="394">
        <v>150</v>
      </c>
      <c r="F104" s="395" t="s">
        <v>46</v>
      </c>
      <c r="G104" s="379">
        <v>2</v>
      </c>
      <c r="H104" s="361">
        <v>0.216</v>
      </c>
      <c r="I104" s="379">
        <v>32</v>
      </c>
      <c r="J104" s="396">
        <v>6.9119999999999999</v>
      </c>
      <c r="K104" s="381">
        <v>76.031999999999996</v>
      </c>
      <c r="L104" s="361"/>
      <c r="M104" s="356">
        <f t="shared" si="10"/>
        <v>1427.9759999999999</v>
      </c>
      <c r="N104" s="346">
        <f t="shared" si="12"/>
        <v>6611</v>
      </c>
      <c r="O104" s="357">
        <f t="shared" si="9"/>
        <v>991.65</v>
      </c>
      <c r="S104" s="1113" t="s">
        <v>430</v>
      </c>
      <c r="U104" s="1105">
        <f>IF($U$2&lt;4,SUMIFS(РегСкидка!$C$3:$C$619,РегСкидка!$D$3:$D$619,$P$6,РегСкидка!$B$3:$B$619,S104,РегСкидка!$E$3:$E$619,$U$7)/100*IF(OR($U$3=1, $U$3=2,$U$3=3,$U$3=4),1,0),0)</f>
        <v>0</v>
      </c>
    </row>
    <row r="105" spans="1:21" ht="15" customHeight="1" x14ac:dyDescent="0.2">
      <c r="A105" s="1312"/>
      <c r="B105" s="437"/>
      <c r="C105" s="395">
        <v>1200</v>
      </c>
      <c r="D105" s="359">
        <v>600</v>
      </c>
      <c r="E105" s="394">
        <v>160</v>
      </c>
      <c r="F105" s="395" t="s">
        <v>46</v>
      </c>
      <c r="G105" s="379">
        <v>2</v>
      </c>
      <c r="H105" s="361">
        <v>0.23039999999999999</v>
      </c>
      <c r="I105" s="379">
        <v>28</v>
      </c>
      <c r="J105" s="396">
        <v>6.4512</v>
      </c>
      <c r="K105" s="381">
        <v>70.963200000000001</v>
      </c>
      <c r="L105" s="361"/>
      <c r="M105" s="356">
        <f t="shared" si="10"/>
        <v>1523.1743999999999</v>
      </c>
      <c r="N105" s="346">
        <f t="shared" si="12"/>
        <v>6611</v>
      </c>
      <c r="O105" s="357">
        <f t="shared" si="9"/>
        <v>1057.76</v>
      </c>
      <c r="S105" s="1113" t="s">
        <v>430</v>
      </c>
      <c r="U105" s="1105">
        <f>IF($U$2&lt;4,SUMIFS(РегСкидка!$C$3:$C$619,РегСкидка!$D$3:$D$619,$P$6,РегСкидка!$B$3:$B$619,S105,РегСкидка!$E$3:$E$619,$U$7)/100*IF(OR($U$3=1, $U$3=2,$U$3=3,$U$3=4),1,0),0)</f>
        <v>0</v>
      </c>
    </row>
    <row r="106" spans="1:21" ht="15" customHeight="1" x14ac:dyDescent="0.2">
      <c r="A106" s="1312"/>
      <c r="B106" s="437"/>
      <c r="C106" s="395">
        <v>1200</v>
      </c>
      <c r="D106" s="359">
        <v>600</v>
      </c>
      <c r="E106" s="394">
        <v>170</v>
      </c>
      <c r="F106" s="395" t="s">
        <v>46</v>
      </c>
      <c r="G106" s="379">
        <v>2</v>
      </c>
      <c r="H106" s="361">
        <v>0.24479999999999999</v>
      </c>
      <c r="I106" s="379">
        <v>28</v>
      </c>
      <c r="J106" s="396">
        <v>6.8544</v>
      </c>
      <c r="K106" s="381">
        <v>75.398399999999995</v>
      </c>
      <c r="L106" s="361"/>
      <c r="M106" s="356">
        <f t="shared" si="10"/>
        <v>1618.3727999999999</v>
      </c>
      <c r="N106" s="346">
        <f t="shared" si="12"/>
        <v>6611</v>
      </c>
      <c r="O106" s="357">
        <f>N106*E106/1000</f>
        <v>1123.8699999999999</v>
      </c>
      <c r="S106" s="1113" t="s">
        <v>430</v>
      </c>
      <c r="U106" s="1105">
        <f>IF($U$2&lt;4,SUMIFS(РегСкидка!$C$3:$C$619,РегСкидка!$D$3:$D$619,$P$6,РегСкидка!$B$3:$B$619,S106,РегСкидка!$E$3:$E$619,$U$7)/100*IF(OR($U$3=1, $U$3=2,$U$3=3,$U$3=4),1,0),0)</f>
        <v>0</v>
      </c>
    </row>
    <row r="107" spans="1:21" ht="15" customHeight="1" x14ac:dyDescent="0.2">
      <c r="A107" s="1312"/>
      <c r="B107" s="437"/>
      <c r="C107" s="395">
        <v>1200</v>
      </c>
      <c r="D107" s="359">
        <v>600</v>
      </c>
      <c r="E107" s="394">
        <v>180</v>
      </c>
      <c r="F107" s="395" t="s">
        <v>46</v>
      </c>
      <c r="G107" s="379">
        <v>2</v>
      </c>
      <c r="H107" s="361">
        <v>0.25919999999999999</v>
      </c>
      <c r="I107" s="379">
        <v>26</v>
      </c>
      <c r="J107" s="396">
        <v>6.7391999999999994</v>
      </c>
      <c r="K107" s="381">
        <v>74.131199999999993</v>
      </c>
      <c r="L107" s="361"/>
      <c r="M107" s="356">
        <f t="shared" si="10"/>
        <v>1713.5711999999999</v>
      </c>
      <c r="N107" s="346">
        <f t="shared" si="12"/>
        <v>6611</v>
      </c>
      <c r="O107" s="357">
        <f>N107*E107/1000</f>
        <v>1189.98</v>
      </c>
      <c r="S107" s="1113" t="s">
        <v>430</v>
      </c>
      <c r="U107" s="1105">
        <f>IF($U$2&lt;4,SUMIFS(РегСкидка!$C$3:$C$619,РегСкидка!$D$3:$D$619,$P$6,РегСкидка!$B$3:$B$619,S107,РегСкидка!$E$3:$E$619,$U$7)/100*IF(OR($U$3=1, $U$3=2,$U$3=3,$U$3=4),1,0),0)</f>
        <v>0</v>
      </c>
    </row>
    <row r="108" spans="1:21" ht="15" customHeight="1" x14ac:dyDescent="0.2">
      <c r="A108" s="1312"/>
      <c r="B108" s="437"/>
      <c r="C108" s="395">
        <v>1200</v>
      </c>
      <c r="D108" s="359">
        <v>600</v>
      </c>
      <c r="E108" s="394">
        <v>190</v>
      </c>
      <c r="F108" s="395" t="s">
        <v>46</v>
      </c>
      <c r="G108" s="379">
        <v>2</v>
      </c>
      <c r="H108" s="361">
        <v>0.27360000000000001</v>
      </c>
      <c r="I108" s="379">
        <v>24</v>
      </c>
      <c r="J108" s="396">
        <v>6.5663999999999998</v>
      </c>
      <c r="K108" s="381">
        <v>72.230400000000003</v>
      </c>
      <c r="L108" s="361"/>
      <c r="M108" s="356">
        <f t="shared" si="10"/>
        <v>1808.7696000000001</v>
      </c>
      <c r="N108" s="346">
        <f t="shared" si="12"/>
        <v>6611</v>
      </c>
      <c r="O108" s="357">
        <f>N108*E108/1000</f>
        <v>1256.0899999999999</v>
      </c>
      <c r="S108" s="1113" t="s">
        <v>430</v>
      </c>
      <c r="U108" s="1105">
        <f>IF($U$2&lt;4,SUMIFS(РегСкидка!$C$3:$C$619,РегСкидка!$D$3:$D$619,$P$6,РегСкидка!$B$3:$B$619,S108,РегСкидка!$E$3:$E$619,$U$7)/100*IF(OR($U$3=1, $U$3=2,$U$3=3,$U$3=4),1,0),0)</f>
        <v>0</v>
      </c>
    </row>
    <row r="109" spans="1:21" ht="15" customHeight="1" thickBot="1" x14ac:dyDescent="0.25">
      <c r="A109" s="1313"/>
      <c r="B109" s="438"/>
      <c r="C109" s="422">
        <v>1200</v>
      </c>
      <c r="D109" s="367">
        <v>600</v>
      </c>
      <c r="E109" s="423">
        <v>200</v>
      </c>
      <c r="F109" s="422" t="s">
        <v>46</v>
      </c>
      <c r="G109" s="424">
        <v>2</v>
      </c>
      <c r="H109" s="370">
        <v>0.28799999999999998</v>
      </c>
      <c r="I109" s="424">
        <v>48</v>
      </c>
      <c r="J109" s="425">
        <v>13.823999999999998</v>
      </c>
      <c r="K109" s="373">
        <v>152.06399999999996</v>
      </c>
      <c r="L109" s="370"/>
      <c r="M109" s="426">
        <f t="shared" si="10"/>
        <v>1903.9679999999998</v>
      </c>
      <c r="N109" s="375">
        <f>N108</f>
        <v>6611</v>
      </c>
      <c r="O109" s="515">
        <f>N109*E109/1000</f>
        <v>1322.2</v>
      </c>
      <c r="S109" s="1113" t="s">
        <v>430</v>
      </c>
      <c r="U109" s="1105">
        <f>IF($U$2&lt;4,SUMIFS(РегСкидка!$C$3:$C$619,РегСкидка!$D$3:$D$619,$P$6,РегСкидка!$B$3:$B$619,S109,РегСкидка!$E$3:$E$619,$U$7)/100*IF(OR($U$3=1, $U$3=2,$U$3=3,$U$3=4),1,0),0)</f>
        <v>0</v>
      </c>
    </row>
    <row r="110" spans="1:21" ht="15" customHeight="1" x14ac:dyDescent="0.2">
      <c r="A110" s="376" t="s">
        <v>335</v>
      </c>
      <c r="B110" s="439"/>
      <c r="C110" s="427"/>
      <c r="D110" s="340"/>
      <c r="E110" s="392"/>
      <c r="F110" s="427"/>
      <c r="G110" s="342"/>
      <c r="H110" s="343"/>
      <c r="I110" s="342"/>
      <c r="J110" s="344"/>
      <c r="K110" s="381"/>
      <c r="L110" s="343"/>
      <c r="M110" s="356"/>
      <c r="N110" s="459"/>
      <c r="O110" s="357"/>
      <c r="S110" s="1113" t="s">
        <v>430</v>
      </c>
      <c r="U110" s="1105">
        <f>IF($U$2&lt;4,SUMIFS(РегСкидка!$C$3:$C$619,РегСкидка!$D$3:$D$619,$P$6,РегСкидка!$B$3:$B$619,S110,РегСкидка!$E$3:$E$619,$U$7)/100*IF(OR($U$3=1, $U$3=2,$U$3=3,$U$3=4),1,0),0)</f>
        <v>0</v>
      </c>
    </row>
    <row r="111" spans="1:21" ht="15" customHeight="1" x14ac:dyDescent="0.2">
      <c r="A111" s="393" t="s">
        <v>336</v>
      </c>
      <c r="B111" s="348"/>
      <c r="C111" s="395">
        <v>1200</v>
      </c>
      <c r="D111" s="359">
        <v>600</v>
      </c>
      <c r="E111" s="394">
        <v>40</v>
      </c>
      <c r="F111" s="416" t="s">
        <v>297</v>
      </c>
      <c r="G111" s="1053">
        <v>6</v>
      </c>
      <c r="H111" s="361">
        <v>0.17280000000000001</v>
      </c>
      <c r="I111" s="379">
        <v>40</v>
      </c>
      <c r="J111" s="396">
        <v>6.9120000000000008</v>
      </c>
      <c r="K111" s="1057">
        <v>76.032000000000011</v>
      </c>
      <c r="L111" s="361"/>
      <c r="M111" s="356">
        <f t="shared" si="10"/>
        <v>1452.5568000000001</v>
      </c>
      <c r="N111" s="346">
        <v>8406</v>
      </c>
      <c r="O111" s="357">
        <f>N111*E111/1000</f>
        <v>336.24</v>
      </c>
      <c r="S111" s="1113" t="s">
        <v>430</v>
      </c>
      <c r="U111" s="1105">
        <f>IF($U$2&lt;4,SUMIFS(РегСкидка!$C$3:$C$619,РегСкидка!$D$3:$D$619,$P$6,РегСкидка!$B$3:$B$619,S111,РегСкидка!$E$3:$E$619,$U$7)/100*IF(OR($U$3=1, $U$3=2,$U$3=3,$U$3=4),1,0),0)</f>
        <v>0</v>
      </c>
    </row>
    <row r="112" spans="1:21" ht="15" customHeight="1" thickBot="1" x14ac:dyDescent="0.25">
      <c r="A112" s="464" t="s">
        <v>29</v>
      </c>
      <c r="B112" s="440"/>
      <c r="C112" s="422">
        <v>1200</v>
      </c>
      <c r="D112" s="367">
        <v>600</v>
      </c>
      <c r="E112" s="423">
        <v>50</v>
      </c>
      <c r="F112" s="422" t="s">
        <v>339</v>
      </c>
      <c r="G112" s="1056">
        <v>4</v>
      </c>
      <c r="H112" s="370">
        <v>0.14399999999999999</v>
      </c>
      <c r="I112" s="424">
        <v>48</v>
      </c>
      <c r="J112" s="425">
        <v>6.911999999999999</v>
      </c>
      <c r="K112" s="373">
        <v>76.031999999999982</v>
      </c>
      <c r="L112" s="370"/>
      <c r="M112" s="356">
        <f t="shared" si="10"/>
        <v>1210.4639999999999</v>
      </c>
      <c r="N112" s="375">
        <f>N111</f>
        <v>8406</v>
      </c>
      <c r="O112" s="357">
        <f>N112*E112/1000</f>
        <v>420.3</v>
      </c>
      <c r="S112" s="1113" t="s">
        <v>430</v>
      </c>
      <c r="U112" s="1105">
        <f>IF($U$2&lt;4,SUMIFS(РегСкидка!$C$3:$C$619,РегСкидка!$D$3:$D$619,$P$6,РегСкидка!$B$3:$B$619,S112,РегСкидка!$E$3:$E$619,$U$7)/100*IF(OR($U$3=1, $U$3=2,$U$3=3,$U$3=4),1,0),0)</f>
        <v>0</v>
      </c>
    </row>
    <row r="113" spans="10:21" x14ac:dyDescent="0.2">
      <c r="J113" s="332" t="s">
        <v>757</v>
      </c>
      <c r="M113" s="1117">
        <f>INDEX('Доставка по областям'!$C$111:$E$197,'ЛАЙТ Рязань'!$Q$5,3)</f>
        <v>61</v>
      </c>
      <c r="N113" s="1117">
        <f>INDEX('Доставка по областям'!$C$111:$E$197,'ЛАЙТ Рязань'!$Q$5,1)</f>
        <v>40</v>
      </c>
      <c r="O113" s="1117">
        <f>INDEX('Доставка по областям'!$C$111:$E$197,'ЛАЙТ Рязань'!$Q$5,2)</f>
        <v>64</v>
      </c>
      <c r="S113" s="1113" t="s">
        <v>430</v>
      </c>
      <c r="U113" s="1105">
        <f>IF($U$2&lt;4,SUMIFS(РегСкидка!$C$3:$C$619,РегСкидка!$D$3:$D$619,$P$6,РегСкидка!$B$3:$B$619,S113,РегСкидка!$E$3:$E$619,$U$7)/100*IF(OR($U$3=1, $U$3=2,$U$3=3,$U$3=4),1,0),0)</f>
        <v>0</v>
      </c>
    </row>
    <row r="114" spans="10:21" x14ac:dyDescent="0.2">
      <c r="J114" s="332" t="s">
        <v>758</v>
      </c>
      <c r="M114" s="1117">
        <f>INDEX('Доставка по областям'!$C$207:$E$293,'ЛАЙТ Рязань'!$Q$5,3)</f>
        <v>61</v>
      </c>
      <c r="N114" s="1117">
        <f>INDEX('Доставка по областям'!$C$207:$E$293,'ЛАЙТ Рязань'!$Q$5,1)</f>
        <v>40</v>
      </c>
      <c r="O114" s="1117">
        <f>INDEX('Доставка по областям'!$C$207:$E$293,'ЛАЙТ Рязань'!$Q$5,2)</f>
        <v>64</v>
      </c>
      <c r="S114" s="1113" t="s">
        <v>430</v>
      </c>
      <c r="U114" s="1105">
        <f>IF($U$2&lt;4,SUMIFS(РегСкидка!$C$3:$C$619,РегСкидка!$D$3:$D$619,$P$6,РегСкидка!$B$3:$B$619,S114,РегСкидка!$E$3:$E$619,$U$7)/100*IF(OR($U$3=1, $U$3=2,$U$3=3,$U$3=4),1,0),0)</f>
        <v>0</v>
      </c>
    </row>
    <row r="115" spans="10:21" x14ac:dyDescent="0.2">
      <c r="S115" s="1113" t="s">
        <v>430</v>
      </c>
      <c r="U115" s="1105">
        <f>IF($U$2&lt;4,SUMIFS(РегСкидка!$C$3:$C$619,РегСкидка!$D$3:$D$619,$P$6,РегСкидка!$B$3:$B$619,S115,РегСкидка!$E$3:$E$619,$U$7)/100*IF(OR($U$3=1, $U$3=2,$U$3=3,$U$3=4),1,0),0)</f>
        <v>0</v>
      </c>
    </row>
  </sheetData>
  <mergeCells count="19">
    <mergeCell ref="M3:O3"/>
    <mergeCell ref="N2:O2"/>
    <mergeCell ref="I2:M2"/>
    <mergeCell ref="A3:A4"/>
    <mergeCell ref="B3:B4"/>
    <mergeCell ref="C3:C4"/>
    <mergeCell ref="D3:D4"/>
    <mergeCell ref="E3:E4"/>
    <mergeCell ref="F3:F4"/>
    <mergeCell ref="G3:H3"/>
    <mergeCell ref="I3:J3"/>
    <mergeCell ref="K3:L3"/>
    <mergeCell ref="A9:A10"/>
    <mergeCell ref="A96:A109"/>
    <mergeCell ref="A14:A27"/>
    <mergeCell ref="A31:A45"/>
    <mergeCell ref="A48:A61"/>
    <mergeCell ref="A64:A77"/>
    <mergeCell ref="A80:A93"/>
  </mergeCells>
  <phoneticPr fontId="65" type="noConversion"/>
  <pageMargins left="0.7" right="0.7" top="0.75" bottom="0.75" header="0.3" footer="0.3"/>
  <pageSetup paperSize="9" scale="8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dimension ref="A2:W35"/>
  <sheetViews>
    <sheetView view="pageBreakPreview" zoomScaleNormal="100" zoomScaleSheetLayoutView="100" workbookViewId="0">
      <selection activeCell="N10" sqref="N10:N19"/>
    </sheetView>
  </sheetViews>
  <sheetFormatPr defaultRowHeight="15" x14ac:dyDescent="0.25"/>
  <cols>
    <col min="1" max="1" width="14.28515625" style="483" customWidth="1"/>
    <col min="2" max="2" width="0" style="483" hidden="1" customWidth="1"/>
    <col min="3" max="3" width="13.28515625" style="483" customWidth="1"/>
    <col min="4" max="4" width="11.140625" style="483" customWidth="1"/>
    <col min="5" max="13" width="9.140625" style="483"/>
    <col min="14" max="14" width="18.28515625" style="483" customWidth="1"/>
    <col min="15" max="16384" width="9.140625" style="483"/>
  </cols>
  <sheetData>
    <row r="2" spans="1:19" ht="26.25" x14ac:dyDescent="0.4">
      <c r="A2" s="75" t="s">
        <v>19</v>
      </c>
      <c r="B2" s="75"/>
      <c r="C2" s="75"/>
      <c r="D2" s="75"/>
      <c r="M2" s="1336" t="s">
        <v>21</v>
      </c>
      <c r="N2" s="1336"/>
      <c r="O2" s="1336"/>
      <c r="P2" s="1336"/>
      <c r="Q2" s="1336"/>
    </row>
    <row r="3" spans="1:19" ht="26.25" x14ac:dyDescent="0.4">
      <c r="A3" s="75" t="s">
        <v>20</v>
      </c>
      <c r="B3" s="75"/>
      <c r="C3" s="75"/>
      <c r="D3" s="75"/>
      <c r="M3" s="1337" t="s">
        <v>40</v>
      </c>
      <c r="N3" s="1337"/>
      <c r="O3" s="1337"/>
      <c r="P3" s="1337"/>
      <c r="Q3" s="1337"/>
    </row>
    <row r="4" spans="1:19" ht="26.25" x14ac:dyDescent="0.4">
      <c r="A4" s="75"/>
      <c r="B4" s="75"/>
      <c r="C4" s="75"/>
      <c r="D4" s="75"/>
      <c r="M4" s="1337" t="s">
        <v>39</v>
      </c>
      <c r="N4" s="1337"/>
      <c r="O4" s="1337"/>
      <c r="P4" s="1337"/>
      <c r="Q4" s="1337"/>
    </row>
    <row r="5" spans="1:19" x14ac:dyDescent="0.25">
      <c r="A5" s="139" t="s">
        <v>53</v>
      </c>
      <c r="B5" s="139"/>
      <c r="C5" s="139"/>
      <c r="D5" s="139"/>
      <c r="E5" s="140"/>
      <c r="F5" s="140"/>
      <c r="G5" s="141"/>
      <c r="M5" s="1338" t="s">
        <v>37</v>
      </c>
      <c r="N5" s="1338"/>
      <c r="O5" s="1338"/>
      <c r="P5" s="1338"/>
      <c r="Q5" s="1338"/>
    </row>
    <row r="6" spans="1:19" ht="15" customHeight="1" x14ac:dyDescent="0.25">
      <c r="A6" s="1344" t="str">
        <f>'ЛАЙТ Рязань'!A4</f>
        <v>03.03.2011г.</v>
      </c>
      <c r="B6" s="1344"/>
      <c r="C6" s="1344"/>
      <c r="D6" s="1344"/>
      <c r="E6" s="1344"/>
      <c r="F6" s="1344"/>
      <c r="G6" s="1344"/>
      <c r="H6" s="1344"/>
      <c r="I6" s="1344"/>
      <c r="J6" s="1344"/>
      <c r="K6" s="1344"/>
      <c r="L6" s="1344"/>
      <c r="M6" s="1344"/>
      <c r="N6" s="1344"/>
      <c r="O6" s="1344"/>
      <c r="P6" s="1344"/>
      <c r="Q6" s="1344"/>
      <c r="R6" s="1344"/>
      <c r="S6" s="1344"/>
    </row>
    <row r="7" spans="1:19" ht="27" thickBot="1" x14ac:dyDescent="0.45">
      <c r="A7" s="6"/>
      <c r="B7" s="75"/>
      <c r="C7" s="75"/>
      <c r="D7" s="75"/>
    </row>
    <row r="8" spans="1:19" x14ac:dyDescent="0.25">
      <c r="A8" s="1347" t="s">
        <v>58</v>
      </c>
      <c r="B8" s="1345" t="s">
        <v>59</v>
      </c>
      <c r="C8" s="1345" t="s">
        <v>133</v>
      </c>
      <c r="D8" s="1342" t="s">
        <v>81</v>
      </c>
      <c r="E8" s="1339" t="s">
        <v>60</v>
      </c>
      <c r="F8" s="1340"/>
      <c r="G8" s="1341"/>
      <c r="H8" s="1349" t="s">
        <v>61</v>
      </c>
      <c r="I8" s="1340"/>
      <c r="J8" s="1350"/>
      <c r="K8" s="1339" t="s">
        <v>62</v>
      </c>
      <c r="L8" s="1340"/>
      <c r="M8" s="1341"/>
      <c r="N8" s="466" t="s">
        <v>341</v>
      </c>
    </row>
    <row r="9" spans="1:19" ht="30" customHeight="1" thickBot="1" x14ac:dyDescent="0.3">
      <c r="A9" s="1348"/>
      <c r="B9" s="1346"/>
      <c r="C9" s="1346"/>
      <c r="D9" s="1343"/>
      <c r="E9" s="144" t="s">
        <v>63</v>
      </c>
      <c r="F9" s="145" t="s">
        <v>64</v>
      </c>
      <c r="G9" s="146" t="s">
        <v>65</v>
      </c>
      <c r="H9" s="147" t="s">
        <v>66</v>
      </c>
      <c r="I9" s="145" t="s">
        <v>67</v>
      </c>
      <c r="J9" s="148" t="s">
        <v>68</v>
      </c>
      <c r="K9" s="144" t="s">
        <v>69</v>
      </c>
      <c r="L9" s="145" t="s">
        <v>67</v>
      </c>
      <c r="M9" s="146" t="s">
        <v>68</v>
      </c>
      <c r="N9" s="149" t="s">
        <v>70</v>
      </c>
    </row>
    <row r="10" spans="1:19" x14ac:dyDescent="0.25">
      <c r="A10" s="150" t="s">
        <v>71</v>
      </c>
      <c r="B10" s="151" t="s">
        <v>46</v>
      </c>
      <c r="C10" s="484" t="s">
        <v>235</v>
      </c>
      <c r="D10" s="151"/>
      <c r="E10" s="485">
        <v>1200</v>
      </c>
      <c r="F10" s="486">
        <v>600</v>
      </c>
      <c r="G10" s="487">
        <v>50</v>
      </c>
      <c r="H10" s="488">
        <v>192</v>
      </c>
      <c r="I10" s="486">
        <v>6.9119999999999999</v>
      </c>
      <c r="J10" s="489">
        <v>138.23999999999998</v>
      </c>
      <c r="K10" s="485">
        <v>11</v>
      </c>
      <c r="L10" s="486">
        <v>76.031999999999996</v>
      </c>
      <c r="M10" s="487">
        <v>1520.6399999999999</v>
      </c>
      <c r="N10" s="467">
        <v>1204</v>
      </c>
    </row>
    <row r="11" spans="1:19" s="636" customFormat="1" x14ac:dyDescent="0.25">
      <c r="A11" s="150" t="s">
        <v>71</v>
      </c>
      <c r="B11" s="151" t="s">
        <v>46</v>
      </c>
      <c r="C11" s="626" t="s">
        <v>235</v>
      </c>
      <c r="D11" s="151"/>
      <c r="E11" s="627">
        <v>1200</v>
      </c>
      <c r="F11" s="628">
        <v>600</v>
      </c>
      <c r="G11" s="629">
        <v>50</v>
      </c>
      <c r="H11" s="630">
        <v>240</v>
      </c>
      <c r="I11" s="631">
        <v>8.64</v>
      </c>
      <c r="J11" s="632">
        <v>172.8</v>
      </c>
      <c r="K11" s="633">
        <v>11</v>
      </c>
      <c r="L11" s="631">
        <v>95.04</v>
      </c>
      <c r="M11" s="634">
        <v>1900.8</v>
      </c>
      <c r="N11" s="467">
        <v>1204</v>
      </c>
      <c r="O11" s="635"/>
      <c r="P11" s="635"/>
      <c r="Q11" s="569"/>
      <c r="R11" s="635"/>
      <c r="S11" s="569"/>
    </row>
    <row r="12" spans="1:19" s="636" customFormat="1" x14ac:dyDescent="0.25">
      <c r="A12" s="150" t="s">
        <v>71</v>
      </c>
      <c r="B12" s="151" t="s">
        <v>46</v>
      </c>
      <c r="C12" s="626" t="s">
        <v>235</v>
      </c>
      <c r="D12" s="151"/>
      <c r="E12" s="627">
        <v>1200</v>
      </c>
      <c r="F12" s="628">
        <v>600</v>
      </c>
      <c r="G12" s="629">
        <v>50</v>
      </c>
      <c r="H12" s="630">
        <v>224</v>
      </c>
      <c r="I12" s="631">
        <v>8.0640000000000001</v>
      </c>
      <c r="J12" s="632">
        <v>161.28</v>
      </c>
      <c r="K12" s="633">
        <v>11</v>
      </c>
      <c r="L12" s="631">
        <v>88.703999999999994</v>
      </c>
      <c r="M12" s="634">
        <v>1774.08</v>
      </c>
      <c r="N12" s="467">
        <v>1204</v>
      </c>
      <c r="O12" s="635"/>
      <c r="P12" s="635"/>
      <c r="Q12" s="569"/>
      <c r="R12" s="635"/>
      <c r="S12" s="569"/>
    </row>
    <row r="13" spans="1:19" x14ac:dyDescent="0.25">
      <c r="A13" s="152" t="s">
        <v>72</v>
      </c>
      <c r="B13" s="151" t="s">
        <v>46</v>
      </c>
      <c r="C13" s="490" t="s">
        <v>236</v>
      </c>
      <c r="D13" s="153"/>
      <c r="E13" s="491">
        <v>1200</v>
      </c>
      <c r="F13" s="492">
        <v>600</v>
      </c>
      <c r="G13" s="493">
        <v>100</v>
      </c>
      <c r="H13" s="494">
        <v>96</v>
      </c>
      <c r="I13" s="492">
        <v>6.9119999999999999</v>
      </c>
      <c r="J13" s="495">
        <v>69.12</v>
      </c>
      <c r="K13" s="491">
        <v>11</v>
      </c>
      <c r="L13" s="492">
        <v>76.031999999999996</v>
      </c>
      <c r="M13" s="493">
        <v>760.32</v>
      </c>
      <c r="N13" s="467">
        <v>1204</v>
      </c>
    </row>
    <row r="14" spans="1:19" x14ac:dyDescent="0.25">
      <c r="A14" s="152" t="s">
        <v>73</v>
      </c>
      <c r="B14" s="151" t="s">
        <v>46</v>
      </c>
      <c r="C14" s="490" t="s">
        <v>228</v>
      </c>
      <c r="D14" s="153"/>
      <c r="E14" s="491">
        <v>1200</v>
      </c>
      <c r="F14" s="492">
        <v>600</v>
      </c>
      <c r="G14" s="493">
        <v>50</v>
      </c>
      <c r="H14" s="494">
        <v>192</v>
      </c>
      <c r="I14" s="492">
        <v>6.9119999999999999</v>
      </c>
      <c r="J14" s="495">
        <v>138.23999999999998</v>
      </c>
      <c r="K14" s="491">
        <v>11</v>
      </c>
      <c r="L14" s="492">
        <v>76.031999999999996</v>
      </c>
      <c r="M14" s="493">
        <v>1520.6399999999999</v>
      </c>
      <c r="N14" s="496">
        <v>2515</v>
      </c>
    </row>
    <row r="15" spans="1:19" x14ac:dyDescent="0.25">
      <c r="A15" s="152" t="s">
        <v>74</v>
      </c>
      <c r="B15" s="151" t="s">
        <v>46</v>
      </c>
      <c r="C15" s="490" t="s">
        <v>229</v>
      </c>
      <c r="D15" s="153"/>
      <c r="E15" s="491">
        <v>1200</v>
      </c>
      <c r="F15" s="492">
        <v>600</v>
      </c>
      <c r="G15" s="493">
        <v>100</v>
      </c>
      <c r="H15" s="494">
        <v>96</v>
      </c>
      <c r="I15" s="492">
        <v>6.9119999999999999</v>
      </c>
      <c r="J15" s="495">
        <v>69.12</v>
      </c>
      <c r="K15" s="491">
        <v>11</v>
      </c>
      <c r="L15" s="492">
        <v>76.031999999999996</v>
      </c>
      <c r="M15" s="493">
        <v>760.32</v>
      </c>
      <c r="N15" s="496">
        <v>2515</v>
      </c>
    </row>
    <row r="16" spans="1:19" x14ac:dyDescent="0.25">
      <c r="A16" s="207" t="s">
        <v>85</v>
      </c>
      <c r="B16" s="151" t="s">
        <v>46</v>
      </c>
      <c r="C16" s="497" t="s">
        <v>226</v>
      </c>
      <c r="D16" s="208"/>
      <c r="E16" s="498">
        <v>1200</v>
      </c>
      <c r="F16" s="499">
        <v>600</v>
      </c>
      <c r="G16" s="500">
        <v>50</v>
      </c>
      <c r="H16" s="501">
        <v>176</v>
      </c>
      <c r="I16" s="499">
        <v>6.3360000000000003</v>
      </c>
      <c r="J16" s="502">
        <v>126.72</v>
      </c>
      <c r="K16" s="498">
        <v>11</v>
      </c>
      <c r="L16" s="499">
        <v>69.695999999999998</v>
      </c>
      <c r="M16" s="500">
        <v>1393.92</v>
      </c>
      <c r="N16" s="503">
        <v>3935</v>
      </c>
    </row>
    <row r="17" spans="1:23" x14ac:dyDescent="0.25">
      <c r="A17" s="207" t="s">
        <v>85</v>
      </c>
      <c r="B17" s="151" t="s">
        <v>46</v>
      </c>
      <c r="C17" s="497" t="s">
        <v>227</v>
      </c>
      <c r="D17" s="208"/>
      <c r="E17" s="498">
        <v>1200</v>
      </c>
      <c r="F17" s="499">
        <v>600</v>
      </c>
      <c r="G17" s="500">
        <v>100</v>
      </c>
      <c r="H17" s="501">
        <v>96</v>
      </c>
      <c r="I17" s="499">
        <v>6.9119999999999999</v>
      </c>
      <c r="J17" s="502">
        <v>69.11999999999999</v>
      </c>
      <c r="K17" s="498">
        <v>11</v>
      </c>
      <c r="L17" s="499">
        <v>76.031999999999996</v>
      </c>
      <c r="M17" s="500">
        <v>760.31999999999994</v>
      </c>
      <c r="N17" s="503">
        <v>3935</v>
      </c>
    </row>
    <row r="18" spans="1:23" x14ac:dyDescent="0.25">
      <c r="A18" s="152" t="s">
        <v>75</v>
      </c>
      <c r="B18" s="151" t="s">
        <v>46</v>
      </c>
      <c r="C18" s="490" t="s">
        <v>230</v>
      </c>
      <c r="D18" s="153"/>
      <c r="E18" s="491">
        <v>1200</v>
      </c>
      <c r="F18" s="492">
        <v>600</v>
      </c>
      <c r="G18" s="493">
        <v>40</v>
      </c>
      <c r="H18" s="494">
        <v>220</v>
      </c>
      <c r="I18" s="492">
        <v>6.3360000000000003</v>
      </c>
      <c r="J18" s="495">
        <v>158.4</v>
      </c>
      <c r="K18" s="491">
        <v>11</v>
      </c>
      <c r="L18" s="492">
        <v>69.695999999999998</v>
      </c>
      <c r="M18" s="493">
        <v>1742.4</v>
      </c>
      <c r="N18" s="504">
        <v>4655</v>
      </c>
    </row>
    <row r="19" spans="1:23" ht="15.75" thickBot="1" x14ac:dyDescent="0.3">
      <c r="A19" s="154" t="s">
        <v>76</v>
      </c>
      <c r="B19" s="151" t="s">
        <v>46</v>
      </c>
      <c r="C19" s="505" t="s">
        <v>231</v>
      </c>
      <c r="D19" s="155"/>
      <c r="E19" s="506">
        <v>1200</v>
      </c>
      <c r="F19" s="507">
        <v>600</v>
      </c>
      <c r="G19" s="508">
        <v>50</v>
      </c>
      <c r="H19" s="509">
        <v>176</v>
      </c>
      <c r="I19" s="507">
        <v>6.3360000000000003</v>
      </c>
      <c r="J19" s="510">
        <v>126.72</v>
      </c>
      <c r="K19" s="506">
        <v>11</v>
      </c>
      <c r="L19" s="507">
        <v>69.695999999999998</v>
      </c>
      <c r="M19" s="508">
        <v>1393.92</v>
      </c>
      <c r="N19" s="511">
        <v>4655</v>
      </c>
    </row>
    <row r="20" spans="1:23" x14ac:dyDescent="0.25">
      <c r="A20" s="512"/>
      <c r="B20" s="512"/>
      <c r="C20" s="512"/>
      <c r="D20" s="512"/>
    </row>
    <row r="21" spans="1:23" x14ac:dyDescent="0.25">
      <c r="E21" s="513" t="s">
        <v>77</v>
      </c>
      <c r="F21" s="513"/>
      <c r="G21" s="513"/>
      <c r="H21" s="513"/>
      <c r="I21" s="513"/>
      <c r="J21" s="513"/>
      <c r="K21" s="513"/>
    </row>
    <row r="22" spans="1:23" x14ac:dyDescent="0.25">
      <c r="E22" s="140" t="s">
        <v>343</v>
      </c>
      <c r="F22" s="513"/>
    </row>
    <row r="23" spans="1:23" x14ac:dyDescent="0.25">
      <c r="E23" s="483" t="s">
        <v>78</v>
      </c>
    </row>
    <row r="24" spans="1:23" x14ac:dyDescent="0.25">
      <c r="E24" s="483" t="s">
        <v>79</v>
      </c>
    </row>
    <row r="25" spans="1:23" s="142" customFormat="1" ht="12.75" x14ac:dyDescent="0.2">
      <c r="A25" s="156" t="s">
        <v>7</v>
      </c>
      <c r="H25" s="157"/>
      <c r="J25" s="143"/>
      <c r="K25" s="157"/>
      <c r="L25" s="158"/>
    </row>
    <row r="26" spans="1:23" s="160" customFormat="1" ht="12.75" x14ac:dyDescent="0.2">
      <c r="A26" s="514" t="s">
        <v>344</v>
      </c>
      <c r="H26" s="161"/>
      <c r="J26" s="162"/>
      <c r="K26" s="161"/>
      <c r="L26" s="163"/>
    </row>
    <row r="27" spans="1:23" s="142" customFormat="1" ht="12.75" x14ac:dyDescent="0.2">
      <c r="A27" s="159" t="s">
        <v>23</v>
      </c>
      <c r="H27" s="157"/>
      <c r="J27" s="143"/>
      <c r="K27" s="157"/>
      <c r="L27" s="158"/>
    </row>
    <row r="28" spans="1:23" s="142" customFormat="1" ht="12.75" x14ac:dyDescent="0.2">
      <c r="A28" s="159" t="s">
        <v>24</v>
      </c>
      <c r="H28" s="157"/>
      <c r="J28" s="143"/>
      <c r="K28" s="157"/>
      <c r="L28" s="158"/>
    </row>
    <row r="29" spans="1:23" s="142" customFormat="1" ht="12.75" x14ac:dyDescent="0.2">
      <c r="A29" s="159" t="s">
        <v>80</v>
      </c>
      <c r="H29" s="157"/>
      <c r="J29" s="143"/>
      <c r="K29" s="157"/>
      <c r="L29" s="158"/>
      <c r="R29" s="164"/>
      <c r="S29" s="164"/>
    </row>
    <row r="30" spans="1:23" s="2" customFormat="1" ht="20.100000000000001" customHeight="1" x14ac:dyDescent="0.25">
      <c r="A30" s="232" t="s">
        <v>54</v>
      </c>
      <c r="B30" s="233"/>
      <c r="C30" s="233"/>
      <c r="D30" s="233"/>
      <c r="E30" s="233"/>
      <c r="F30" s="233"/>
      <c r="G30" s="234"/>
      <c r="H30" s="233"/>
      <c r="I30" s="235"/>
      <c r="J30" s="234"/>
      <c r="K30" s="236"/>
      <c r="L30" s="235"/>
      <c r="M30" s="234"/>
      <c r="N30" s="56"/>
      <c r="P30" s="5"/>
      <c r="W30" s="82"/>
    </row>
    <row r="31" spans="1:23" s="2" customFormat="1" ht="20.100000000000001" customHeight="1" x14ac:dyDescent="0.25">
      <c r="A31" s="232" t="s">
        <v>240</v>
      </c>
      <c r="B31" s="233"/>
      <c r="C31" s="233"/>
      <c r="D31" s="233"/>
      <c r="E31" s="233"/>
      <c r="F31" s="233"/>
      <c r="G31" s="234"/>
      <c r="H31" s="233"/>
      <c r="I31" s="235"/>
      <c r="J31" s="234"/>
      <c r="K31" s="236"/>
      <c r="L31" s="235"/>
      <c r="M31" s="234"/>
      <c r="N31" s="56"/>
      <c r="P31" s="5"/>
      <c r="W31" s="82"/>
    </row>
    <row r="32" spans="1:23" s="2" customFormat="1" ht="20.100000000000001" customHeight="1" x14ac:dyDescent="0.25">
      <c r="A32" s="232" t="s">
        <v>241</v>
      </c>
      <c r="B32" s="233"/>
      <c r="C32" s="233"/>
      <c r="D32" s="233"/>
      <c r="E32" s="233"/>
      <c r="F32" s="233"/>
      <c r="G32" s="234"/>
      <c r="H32" s="233"/>
      <c r="I32" s="235"/>
      <c r="J32" s="234"/>
      <c r="K32" s="236"/>
      <c r="L32" s="235"/>
      <c r="M32" s="234"/>
      <c r="N32" s="56"/>
      <c r="P32" s="5"/>
      <c r="W32" s="82"/>
    </row>
    <row r="33" spans="1:14" s="142" customFormat="1" x14ac:dyDescent="0.2">
      <c r="A33" s="232"/>
      <c r="B33" s="233"/>
      <c r="C33" s="233"/>
      <c r="D33" s="233"/>
      <c r="E33" s="233"/>
      <c r="F33" s="233"/>
      <c r="G33" s="233"/>
      <c r="H33" s="234"/>
      <c r="I33" s="233"/>
      <c r="J33" s="235"/>
      <c r="K33" s="234"/>
      <c r="L33" s="236"/>
      <c r="M33" s="233"/>
      <c r="N33" s="143"/>
    </row>
    <row r="34" spans="1:14" s="142" customFormat="1" ht="12.75" x14ac:dyDescent="0.2">
      <c r="A34" s="31"/>
      <c r="H34" s="157"/>
      <c r="J34" s="143"/>
      <c r="K34" s="157"/>
      <c r="L34" s="158"/>
      <c r="N34" s="143"/>
    </row>
    <row r="35" spans="1:14" s="142" customFormat="1" ht="12.75" x14ac:dyDescent="0.2">
      <c r="A35" s="31"/>
      <c r="H35" s="157"/>
      <c r="J35" s="143"/>
      <c r="K35" s="157"/>
      <c r="L35" s="158"/>
      <c r="N35" s="143"/>
    </row>
  </sheetData>
  <mergeCells count="12">
    <mergeCell ref="D8:D9"/>
    <mergeCell ref="A6:S6"/>
    <mergeCell ref="C8:C9"/>
    <mergeCell ref="A8:A9"/>
    <mergeCell ref="B8:B9"/>
    <mergeCell ref="E8:G8"/>
    <mergeCell ref="H8:J8"/>
    <mergeCell ref="M2:Q2"/>
    <mergeCell ref="M3:Q3"/>
    <mergeCell ref="M4:Q4"/>
    <mergeCell ref="M5:Q5"/>
    <mergeCell ref="K8:M8"/>
  </mergeCells>
  <phoneticPr fontId="65" type="noConversion"/>
  <hyperlinks>
    <hyperlink ref="M5" r:id="rId1"/>
  </hyperlinks>
  <pageMargins left="0.7" right="0.7" top="0.75" bottom="0.75" header="0.3" footer="0.3"/>
  <pageSetup paperSize="9" scale="51" orientation="portrait"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0">
    <tabColor rgb="FFFFFF00"/>
  </sheetPr>
  <dimension ref="A1:W89"/>
  <sheetViews>
    <sheetView showGridLines="0" view="pageBreakPreview" zoomScale="75" zoomScaleNormal="100" zoomScaleSheetLayoutView="75" workbookViewId="0">
      <pane xSplit="1" ySplit="7" topLeftCell="B8" activePane="bottomRight" state="frozen"/>
      <selection pane="topRight"/>
      <selection pane="bottomLeft"/>
      <selection pane="bottomRight" activeCell="A6" sqref="A6:A7"/>
    </sheetView>
  </sheetViews>
  <sheetFormatPr defaultColWidth="11.42578125" defaultRowHeight="18" x14ac:dyDescent="0.25"/>
  <cols>
    <col min="1" max="1" width="38.7109375" style="3" customWidth="1"/>
    <col min="2" max="2" width="9.7109375" style="2" customWidth="1"/>
    <col min="3" max="3" width="8.42578125" style="2" customWidth="1"/>
    <col min="4" max="4" width="9.7109375" style="2" customWidth="1"/>
    <col min="5" max="5" width="16.7109375" style="2" customWidth="1"/>
    <col min="6" max="6" width="6.140625" style="2" hidden="1" customWidth="1"/>
    <col min="7" max="8" width="10.85546875" style="2" hidden="1" customWidth="1"/>
    <col min="9" max="9" width="13.28515625" style="2" hidden="1" customWidth="1"/>
    <col min="10" max="10" width="11.5703125" style="4" customWidth="1"/>
    <col min="11" max="11" width="11.5703125" style="2" customWidth="1"/>
    <col min="12" max="12" width="15" style="5" customWidth="1"/>
    <col min="13" max="13" width="11.85546875" style="4" customWidth="1"/>
    <col min="14" max="14" width="14.85546875" style="56" customWidth="1"/>
    <col min="15" max="15" width="15.140625" style="2" customWidth="1"/>
    <col min="16" max="16" width="12.5703125" style="5" hidden="1" customWidth="1"/>
    <col min="17" max="17" width="15.140625" style="2" customWidth="1"/>
    <col min="18" max="18" width="11.7109375" style="2" customWidth="1"/>
    <col min="19" max="19" width="13.42578125" style="2" customWidth="1"/>
    <col min="20" max="20" width="13" style="2" customWidth="1"/>
    <col min="21" max="21" width="11.42578125" style="2"/>
    <col min="22" max="22" width="9.28515625" style="2" customWidth="1"/>
    <col min="23" max="23" width="10.5703125" style="82" customWidth="1"/>
    <col min="24" max="16384" width="11.42578125" style="2"/>
  </cols>
  <sheetData>
    <row r="1" spans="1:23" ht="26.25" x14ac:dyDescent="0.4">
      <c r="A1" s="75" t="s">
        <v>19</v>
      </c>
    </row>
    <row r="2" spans="1:23" s="27" customFormat="1" ht="26.25" x14ac:dyDescent="0.4">
      <c r="A2" s="75" t="s">
        <v>20</v>
      </c>
      <c r="J2" s="28"/>
      <c r="L2" s="29"/>
      <c r="M2" s="28"/>
      <c r="N2" s="57"/>
      <c r="P2" s="29"/>
      <c r="W2" s="83"/>
    </row>
    <row r="3" spans="1:23" s="27" customFormat="1" ht="60" customHeight="1" x14ac:dyDescent="0.35">
      <c r="A3" s="2" t="s">
        <v>53</v>
      </c>
      <c r="J3" s="28"/>
      <c r="L3" s="29"/>
      <c r="M3" s="28"/>
      <c r="N3" s="57"/>
      <c r="P3" s="29"/>
      <c r="W3" s="83"/>
    </row>
    <row r="4" spans="1:23" x14ac:dyDescent="0.25">
      <c r="A4" s="1248" t="s">
        <v>436</v>
      </c>
      <c r="B4" s="1249"/>
      <c r="C4" s="1249"/>
      <c r="D4" s="1249"/>
      <c r="E4" s="1249"/>
      <c r="F4" s="1249"/>
      <c r="G4" s="1249"/>
      <c r="H4" s="1249"/>
      <c r="I4" s="1249"/>
      <c r="J4" s="1249"/>
      <c r="K4" s="1249"/>
      <c r="L4" s="1249"/>
      <c r="M4" s="1249"/>
      <c r="N4" s="1249"/>
      <c r="O4" s="1249"/>
      <c r="P4" s="1249"/>
      <c r="Q4" s="1249"/>
      <c r="R4" s="1249"/>
      <c r="S4" s="1249"/>
      <c r="T4" s="7"/>
    </row>
    <row r="5" spans="1:23" ht="18.75" thickBot="1" x14ac:dyDescent="0.3">
      <c r="A5" s="6"/>
      <c r="B5" s="7"/>
      <c r="C5" s="7"/>
      <c r="D5" s="7"/>
      <c r="E5" s="7"/>
      <c r="F5" s="7"/>
      <c r="G5" s="7"/>
      <c r="H5" s="7"/>
      <c r="I5" s="7"/>
      <c r="J5" s="7"/>
      <c r="K5" s="7"/>
      <c r="L5" s="7"/>
      <c r="M5" s="67"/>
      <c r="N5" s="58"/>
      <c r="O5" s="7"/>
      <c r="P5" s="7"/>
      <c r="Q5" s="7"/>
      <c r="R5" s="528"/>
      <c r="S5" s="528"/>
      <c r="T5" s="7"/>
    </row>
    <row r="6" spans="1:23" ht="72.75" customHeight="1" thickBot="1" x14ac:dyDescent="0.3">
      <c r="A6" s="1250" t="s">
        <v>0</v>
      </c>
      <c r="B6" s="1252" t="s">
        <v>1</v>
      </c>
      <c r="C6" s="1254" t="s">
        <v>2</v>
      </c>
      <c r="D6" s="1256" t="s">
        <v>3</v>
      </c>
      <c r="E6" s="1258" t="s">
        <v>88</v>
      </c>
      <c r="F6" s="1260" t="s">
        <v>36</v>
      </c>
      <c r="G6" s="1260" t="s">
        <v>57</v>
      </c>
      <c r="H6" s="114"/>
      <c r="I6" s="1260" t="s">
        <v>56</v>
      </c>
      <c r="J6" s="1264" t="s">
        <v>49</v>
      </c>
      <c r="K6" s="1265"/>
      <c r="L6" s="1266"/>
      <c r="M6" s="1267" t="s">
        <v>48</v>
      </c>
      <c r="N6" s="1268"/>
      <c r="O6" s="1269" t="s">
        <v>44</v>
      </c>
      <c r="P6" s="1270"/>
      <c r="Q6" s="1264" t="s">
        <v>340</v>
      </c>
      <c r="R6" s="1265"/>
      <c r="S6" s="1266"/>
    </row>
    <row r="7" spans="1:23" ht="49.5" customHeight="1" thickBot="1" x14ac:dyDescent="0.3">
      <c r="A7" s="1251"/>
      <c r="B7" s="1253"/>
      <c r="C7" s="1255"/>
      <c r="D7" s="1257"/>
      <c r="E7" s="1259"/>
      <c r="F7" s="1261"/>
      <c r="G7" s="1262"/>
      <c r="H7" s="763"/>
      <c r="I7" s="1263"/>
      <c r="J7" s="43" t="s">
        <v>5</v>
      </c>
      <c r="K7" s="54" t="s">
        <v>17</v>
      </c>
      <c r="L7" s="64" t="s">
        <v>18</v>
      </c>
      <c r="M7" s="461" t="s">
        <v>47</v>
      </c>
      <c r="N7" s="462" t="s">
        <v>18</v>
      </c>
      <c r="O7" s="449" t="s">
        <v>43</v>
      </c>
      <c r="P7" s="447" t="s">
        <v>42</v>
      </c>
      <c r="Q7" s="765" t="s">
        <v>6</v>
      </c>
      <c r="R7" s="766" t="s">
        <v>18</v>
      </c>
      <c r="S7" s="470" t="s">
        <v>22</v>
      </c>
      <c r="T7" s="3"/>
      <c r="U7" s="3"/>
      <c r="V7" s="3"/>
    </row>
    <row r="8" spans="1:23" ht="22.5" customHeight="1" thickBot="1" x14ac:dyDescent="0.3">
      <c r="A8" s="35" t="s">
        <v>41</v>
      </c>
      <c r="B8" s="252">
        <v>1200</v>
      </c>
      <c r="C8" s="250">
        <v>600</v>
      </c>
      <c r="D8" s="251">
        <v>50</v>
      </c>
      <c r="E8" s="254" t="s">
        <v>233</v>
      </c>
      <c r="F8" s="238" t="s">
        <v>238</v>
      </c>
      <c r="G8" s="111"/>
      <c r="H8" s="115"/>
      <c r="I8" s="259" t="s">
        <v>82</v>
      </c>
      <c r="J8" s="131">
        <v>12</v>
      </c>
      <c r="K8" s="168">
        <v>8.64</v>
      </c>
      <c r="L8" s="132">
        <v>0.432</v>
      </c>
      <c r="M8" s="133">
        <v>20</v>
      </c>
      <c r="N8" s="172">
        <v>8.64</v>
      </c>
      <c r="O8" s="220">
        <v>95.04</v>
      </c>
      <c r="P8" s="443">
        <v>103.68</v>
      </c>
      <c r="Q8" s="88">
        <f>L8*R8</f>
        <v>628.55999999999995</v>
      </c>
      <c r="R8" s="99">
        <v>1455</v>
      </c>
      <c r="S8" s="101">
        <f>R8*D8/1000</f>
        <v>72.75</v>
      </c>
      <c r="U8" s="4"/>
      <c r="V8" s="82"/>
    </row>
    <row r="9" spans="1:23" ht="22.5" customHeight="1" thickBot="1" x14ac:dyDescent="0.3">
      <c r="A9" s="770"/>
      <c r="B9" s="249">
        <v>1200</v>
      </c>
      <c r="C9" s="250">
        <v>600</v>
      </c>
      <c r="D9" s="251">
        <v>50</v>
      </c>
      <c r="E9" s="599" t="s">
        <v>234</v>
      </c>
      <c r="F9" s="238" t="s">
        <v>238</v>
      </c>
      <c r="G9" s="205"/>
      <c r="H9" s="124"/>
      <c r="I9" s="124" t="s">
        <v>83</v>
      </c>
      <c r="J9" s="125">
        <v>12</v>
      </c>
      <c r="K9" s="166">
        <v>6.9119999999999999</v>
      </c>
      <c r="L9" s="126">
        <v>0.432</v>
      </c>
      <c r="M9" s="133">
        <v>16</v>
      </c>
      <c r="N9" s="172">
        <v>6.9119999999999999</v>
      </c>
      <c r="O9" s="220">
        <v>76.031999999999996</v>
      </c>
      <c r="P9" s="126"/>
      <c r="Q9" s="88">
        <f t="shared" ref="Q9:Q15" si="0">L9*R9</f>
        <v>506.30399999999997</v>
      </c>
      <c r="R9" s="655">
        <v>1172</v>
      </c>
      <c r="S9" s="101">
        <f t="shared" ref="S9:S15" si="1">R9*D9/1000</f>
        <v>58.6</v>
      </c>
      <c r="U9" s="4"/>
      <c r="V9" s="82"/>
    </row>
    <row r="10" spans="1:23" ht="22.5" customHeight="1" thickBot="1" x14ac:dyDescent="0.3">
      <c r="A10" s="770"/>
      <c r="B10" s="249">
        <v>1200</v>
      </c>
      <c r="C10" s="250">
        <v>600</v>
      </c>
      <c r="D10" s="251">
        <v>50</v>
      </c>
      <c r="E10" s="599" t="s">
        <v>442</v>
      </c>
      <c r="F10" s="238" t="s">
        <v>238</v>
      </c>
      <c r="G10" s="205"/>
      <c r="H10" s="124"/>
      <c r="I10" s="124" t="s">
        <v>83</v>
      </c>
      <c r="J10" s="125">
        <v>8</v>
      </c>
      <c r="K10" s="166">
        <v>5.76</v>
      </c>
      <c r="L10" s="126">
        <v>0.28799999999999998</v>
      </c>
      <c r="M10" s="133">
        <v>24</v>
      </c>
      <c r="N10" s="172">
        <v>6.9119999999999999</v>
      </c>
      <c r="O10" s="231">
        <v>76.031999999999996</v>
      </c>
      <c r="P10" s="126"/>
      <c r="Q10" s="88">
        <f>L10*R10</f>
        <v>337.536</v>
      </c>
      <c r="R10" s="655">
        <v>1172</v>
      </c>
      <c r="S10" s="101">
        <f>R10*D10/1000</f>
        <v>58.6</v>
      </c>
      <c r="U10" s="4"/>
      <c r="V10" s="82"/>
    </row>
    <row r="11" spans="1:23" ht="22.5" customHeight="1" thickBot="1" x14ac:dyDescent="0.3">
      <c r="A11" s="770"/>
      <c r="B11" s="249">
        <v>1200</v>
      </c>
      <c r="C11" s="250">
        <v>600</v>
      </c>
      <c r="D11" s="251">
        <v>50</v>
      </c>
      <c r="E11" s="666" t="s">
        <v>462</v>
      </c>
      <c r="F11" s="238" t="s">
        <v>238</v>
      </c>
      <c r="G11" s="205"/>
      <c r="H11" s="124"/>
      <c r="I11" s="124" t="s">
        <v>463</v>
      </c>
      <c r="J11" s="125">
        <v>12</v>
      </c>
      <c r="K11" s="166">
        <f>B11*C11*J11/1000000</f>
        <v>8.64</v>
      </c>
      <c r="L11" s="126">
        <f>B11*C11*D11*J11/1000000000</f>
        <v>0.432</v>
      </c>
      <c r="M11" s="133">
        <v>24</v>
      </c>
      <c r="N11" s="172">
        <f>L11*M11</f>
        <v>10.368</v>
      </c>
      <c r="O11" s="231">
        <f>N11*11</f>
        <v>114.048</v>
      </c>
      <c r="P11" s="126"/>
      <c r="Q11" s="88">
        <f>L11*R11</f>
        <v>520.55999999999995</v>
      </c>
      <c r="R11" s="665">
        <v>1205</v>
      </c>
      <c r="S11" s="101">
        <f>R11*D11/1000</f>
        <v>60.25</v>
      </c>
      <c r="U11" s="4"/>
      <c r="V11" s="82"/>
    </row>
    <row r="12" spans="1:23" ht="22.5" customHeight="1" thickBot="1" x14ac:dyDescent="0.3">
      <c r="A12" s="877"/>
      <c r="B12" s="203">
        <v>1200</v>
      </c>
      <c r="C12" s="204">
        <v>600</v>
      </c>
      <c r="D12" s="209">
        <v>50</v>
      </c>
      <c r="E12" s="254" t="s">
        <v>609</v>
      </c>
      <c r="F12" s="238" t="s">
        <v>46</v>
      </c>
      <c r="G12" s="205">
        <v>344.82758620689657</v>
      </c>
      <c r="H12" s="124">
        <v>49.888250319284808</v>
      </c>
      <c r="I12" s="170">
        <v>1036.8000000000002</v>
      </c>
      <c r="J12" s="125">
        <v>8</v>
      </c>
      <c r="K12" s="166">
        <v>0.432</v>
      </c>
      <c r="L12" s="126">
        <v>0.216</v>
      </c>
      <c r="M12" s="127">
        <v>32</v>
      </c>
      <c r="N12" s="173">
        <v>6.9119999999999999</v>
      </c>
      <c r="O12" s="231">
        <v>76.031999999999996</v>
      </c>
      <c r="P12" s="126"/>
      <c r="Q12" s="88" t="e">
        <f t="shared" ref="Q12" si="2">L12*R12</f>
        <v>#VALUE!</v>
      </c>
      <c r="R12" s="829" t="s">
        <v>528</v>
      </c>
      <c r="S12" s="101" t="e">
        <f t="shared" ref="S12" si="3">R12*D12/1000</f>
        <v>#VALUE!</v>
      </c>
      <c r="U12" s="4"/>
      <c r="V12" s="82"/>
    </row>
    <row r="13" spans="1:23" ht="22.5" customHeight="1" thickBot="1" x14ac:dyDescent="0.3">
      <c r="A13" s="1246" t="s">
        <v>31</v>
      </c>
      <c r="B13" s="203">
        <v>1200</v>
      </c>
      <c r="C13" s="204">
        <v>600</v>
      </c>
      <c r="D13" s="209">
        <v>75</v>
      </c>
      <c r="E13" s="254" t="s">
        <v>242</v>
      </c>
      <c r="F13" s="238" t="s">
        <v>46</v>
      </c>
      <c r="G13" s="205">
        <v>344.82758620689657</v>
      </c>
      <c r="H13" s="124">
        <v>49.888250319284808</v>
      </c>
      <c r="I13" s="170">
        <v>1036.8000000000002</v>
      </c>
      <c r="J13" s="125">
        <v>8</v>
      </c>
      <c r="K13" s="166">
        <v>5.7600000000000007</v>
      </c>
      <c r="L13" s="126">
        <v>0.432</v>
      </c>
      <c r="M13" s="127">
        <v>16</v>
      </c>
      <c r="N13" s="173">
        <v>6.9119999999999999</v>
      </c>
      <c r="O13" s="231">
        <v>76.031999999999996</v>
      </c>
      <c r="P13" s="126"/>
      <c r="Q13" s="88">
        <f t="shared" si="0"/>
        <v>506.30399999999997</v>
      </c>
      <c r="R13" s="829">
        <v>1172</v>
      </c>
      <c r="S13" s="101">
        <f t="shared" si="1"/>
        <v>87.9</v>
      </c>
      <c r="U13" s="4"/>
      <c r="V13" s="82"/>
    </row>
    <row r="14" spans="1:23" ht="22.5" customHeight="1" thickBot="1" x14ac:dyDescent="0.3">
      <c r="A14" s="1246"/>
      <c r="B14" s="203">
        <v>1200</v>
      </c>
      <c r="C14" s="204">
        <v>600</v>
      </c>
      <c r="D14" s="209">
        <v>100</v>
      </c>
      <c r="E14" s="254" t="s">
        <v>232</v>
      </c>
      <c r="F14" s="238" t="s">
        <v>237</v>
      </c>
      <c r="G14" s="205"/>
      <c r="H14" s="124">
        <v>0</v>
      </c>
      <c r="I14" s="170" t="s">
        <v>86</v>
      </c>
      <c r="J14" s="125">
        <v>6</v>
      </c>
      <c r="K14" s="166">
        <v>4.32</v>
      </c>
      <c r="L14" s="126">
        <v>0.432</v>
      </c>
      <c r="M14" s="127">
        <v>16</v>
      </c>
      <c r="N14" s="173">
        <v>6.9119999999999999</v>
      </c>
      <c r="O14" s="231">
        <v>76.031999999999996</v>
      </c>
      <c r="P14" s="126"/>
      <c r="Q14" s="88">
        <f t="shared" ref="Q14" si="4">L14*R14</f>
        <v>506.30399999999997</v>
      </c>
      <c r="R14" s="829">
        <v>1172</v>
      </c>
      <c r="S14" s="101">
        <f t="shared" ref="S14" si="5">R14*D14/1000</f>
        <v>117.2</v>
      </c>
      <c r="U14" s="4"/>
      <c r="V14" s="82"/>
    </row>
    <row r="15" spans="1:23" ht="22.5" customHeight="1" thickBot="1" x14ac:dyDescent="0.3">
      <c r="A15" s="1247"/>
      <c r="B15" s="240">
        <v>1200</v>
      </c>
      <c r="C15" s="241">
        <v>600</v>
      </c>
      <c r="D15" s="242">
        <v>150</v>
      </c>
      <c r="E15" s="257" t="s">
        <v>485</v>
      </c>
      <c r="F15" s="295" t="s">
        <v>238</v>
      </c>
      <c r="G15" s="239"/>
      <c r="H15" s="239"/>
      <c r="I15" s="831" t="s">
        <v>179</v>
      </c>
      <c r="J15" s="128">
        <v>4</v>
      </c>
      <c r="K15" s="167">
        <v>2.88</v>
      </c>
      <c r="L15" s="129">
        <v>0.432</v>
      </c>
      <c r="M15" s="130">
        <v>16</v>
      </c>
      <c r="N15" s="174">
        <v>6.9119999999999999</v>
      </c>
      <c r="O15" s="260">
        <v>76.031999999999996</v>
      </c>
      <c r="P15" s="129">
        <v>103.68</v>
      </c>
      <c r="Q15" s="614">
        <f t="shared" si="0"/>
        <v>506.30399999999997</v>
      </c>
      <c r="R15" s="871">
        <v>1172</v>
      </c>
      <c r="S15" s="615">
        <f t="shared" si="1"/>
        <v>175.8</v>
      </c>
      <c r="U15" s="4"/>
      <c r="V15" s="82"/>
    </row>
    <row r="16" spans="1:23" ht="32.25" customHeight="1" thickBot="1" x14ac:dyDescent="0.3">
      <c r="A16" s="1271" t="s">
        <v>84</v>
      </c>
      <c r="B16" s="249">
        <v>1200</v>
      </c>
      <c r="C16" s="287">
        <v>600</v>
      </c>
      <c r="D16" s="288">
        <v>50</v>
      </c>
      <c r="E16" s="253" t="s">
        <v>99</v>
      </c>
      <c r="F16" s="664" t="s">
        <v>238</v>
      </c>
      <c r="G16" s="256"/>
      <c r="H16" s="259">
        <v>0</v>
      </c>
      <c r="I16" s="259" t="s">
        <v>83</v>
      </c>
      <c r="J16" s="131">
        <v>12</v>
      </c>
      <c r="K16" s="168">
        <v>8.64</v>
      </c>
      <c r="L16" s="132">
        <v>0.432</v>
      </c>
      <c r="M16" s="133">
        <v>16</v>
      </c>
      <c r="N16" s="172">
        <v>6.9119999999999999</v>
      </c>
      <c r="O16" s="223">
        <v>76.031999999999996</v>
      </c>
      <c r="P16" s="132"/>
      <c r="Q16" s="88">
        <v>604.79999999999995</v>
      </c>
      <c r="R16" s="643">
        <v>1400</v>
      </c>
      <c r="S16" s="101">
        <v>70</v>
      </c>
      <c r="U16" s="77"/>
    </row>
    <row r="17" spans="1:21" ht="22.5" customHeight="1" thickBot="1" x14ac:dyDescent="0.3">
      <c r="A17" s="1271"/>
      <c r="B17" s="203">
        <v>1200</v>
      </c>
      <c r="C17" s="204">
        <v>600</v>
      </c>
      <c r="D17" s="209">
        <v>60</v>
      </c>
      <c r="E17" s="254" t="s">
        <v>100</v>
      </c>
      <c r="F17" s="238" t="s">
        <v>46</v>
      </c>
      <c r="G17" s="205">
        <v>322.58064516129031</v>
      </c>
      <c r="H17" s="124">
        <v>46.669653524492233</v>
      </c>
      <c r="I17" s="170">
        <v>1078.2719999999999</v>
      </c>
      <c r="J17" s="125">
        <v>10</v>
      </c>
      <c r="K17" s="166">
        <v>7.2</v>
      </c>
      <c r="L17" s="126">
        <v>0.432</v>
      </c>
      <c r="M17" s="127">
        <v>16</v>
      </c>
      <c r="N17" s="173">
        <v>6.9119999999999999</v>
      </c>
      <c r="O17" s="223">
        <v>76.031999999999996</v>
      </c>
      <c r="P17" s="126"/>
      <c r="Q17" s="88">
        <f t="shared" ref="Q17:Q66" si="6">L17*R17</f>
        <v>604.79999999999995</v>
      </c>
      <c r="R17" s="643">
        <f>R16</f>
        <v>1400</v>
      </c>
      <c r="S17" s="101">
        <f t="shared" ref="S17:S66" si="7">R17*D17/1000</f>
        <v>84</v>
      </c>
      <c r="U17" s="77"/>
    </row>
    <row r="18" spans="1:21" ht="22.5" customHeight="1" thickBot="1" x14ac:dyDescent="0.3">
      <c r="A18" s="1271"/>
      <c r="B18" s="203">
        <v>1200</v>
      </c>
      <c r="C18" s="204">
        <v>600</v>
      </c>
      <c r="D18" s="209">
        <v>70</v>
      </c>
      <c r="E18" s="254" t="s">
        <v>101</v>
      </c>
      <c r="F18" s="238" t="s">
        <v>46</v>
      </c>
      <c r="G18" s="205">
        <v>322.58064516129031</v>
      </c>
      <c r="H18" s="124">
        <v>50.003200204813105</v>
      </c>
      <c r="I18" s="170">
        <v>1045.0944</v>
      </c>
      <c r="J18" s="125">
        <v>8</v>
      </c>
      <c r="K18" s="166">
        <v>5.7600000000000007</v>
      </c>
      <c r="L18" s="126">
        <v>0.4032</v>
      </c>
      <c r="M18" s="127">
        <v>16</v>
      </c>
      <c r="N18" s="173">
        <v>6.4512</v>
      </c>
      <c r="O18" s="223">
        <v>70.963200000000001</v>
      </c>
      <c r="P18" s="126"/>
      <c r="Q18" s="88">
        <f t="shared" si="6"/>
        <v>564.48</v>
      </c>
      <c r="R18" s="643">
        <f t="shared" ref="R18:R31" si="8">R17</f>
        <v>1400</v>
      </c>
      <c r="S18" s="101">
        <f t="shared" si="7"/>
        <v>98</v>
      </c>
      <c r="U18" s="77"/>
    </row>
    <row r="19" spans="1:21" ht="22.5" customHeight="1" thickBot="1" x14ac:dyDescent="0.3">
      <c r="A19" s="1271"/>
      <c r="B19" s="203">
        <v>1200</v>
      </c>
      <c r="C19" s="204">
        <v>600</v>
      </c>
      <c r="D19" s="209">
        <v>80</v>
      </c>
      <c r="E19" s="254" t="s">
        <v>102</v>
      </c>
      <c r="F19" s="238" t="s">
        <v>46</v>
      </c>
      <c r="G19" s="205">
        <v>322.58064516129031</v>
      </c>
      <c r="H19" s="124">
        <v>46.669653524492226</v>
      </c>
      <c r="I19" s="170">
        <v>1119.7440000000001</v>
      </c>
      <c r="J19" s="125">
        <v>6</v>
      </c>
      <c r="K19" s="166">
        <v>4.32</v>
      </c>
      <c r="L19" s="126">
        <v>0.34560000000000002</v>
      </c>
      <c r="M19" s="127">
        <v>20</v>
      </c>
      <c r="N19" s="173">
        <v>6.9120000000000008</v>
      </c>
      <c r="O19" s="223">
        <v>76.032000000000011</v>
      </c>
      <c r="P19" s="126"/>
      <c r="Q19" s="88">
        <f t="shared" si="6"/>
        <v>483.84000000000003</v>
      </c>
      <c r="R19" s="643">
        <f t="shared" si="8"/>
        <v>1400</v>
      </c>
      <c r="S19" s="101">
        <f t="shared" si="7"/>
        <v>112</v>
      </c>
      <c r="U19" s="77"/>
    </row>
    <row r="20" spans="1:21" ht="22.5" customHeight="1" thickBot="1" x14ac:dyDescent="0.3">
      <c r="A20" s="1271"/>
      <c r="B20" s="203">
        <v>1200</v>
      </c>
      <c r="C20" s="204">
        <v>600</v>
      </c>
      <c r="D20" s="209">
        <v>90</v>
      </c>
      <c r="E20" s="254" t="s">
        <v>103</v>
      </c>
      <c r="F20" s="238" t="s">
        <v>46</v>
      </c>
      <c r="G20" s="205">
        <v>322.58064516129031</v>
      </c>
      <c r="H20" s="124">
        <v>51.855170582769148</v>
      </c>
      <c r="I20" s="170">
        <v>1007.7696000000001</v>
      </c>
      <c r="J20" s="125">
        <v>6</v>
      </c>
      <c r="K20" s="166">
        <v>4.32</v>
      </c>
      <c r="L20" s="126">
        <v>0.38879999999999998</v>
      </c>
      <c r="M20" s="127">
        <v>16</v>
      </c>
      <c r="N20" s="173">
        <v>6.2207999999999997</v>
      </c>
      <c r="O20" s="223">
        <v>68.428799999999995</v>
      </c>
      <c r="P20" s="126"/>
      <c r="Q20" s="88">
        <f t="shared" si="6"/>
        <v>544.31999999999994</v>
      </c>
      <c r="R20" s="643">
        <f t="shared" si="8"/>
        <v>1400</v>
      </c>
      <c r="S20" s="101">
        <f t="shared" si="7"/>
        <v>126</v>
      </c>
      <c r="U20" s="77"/>
    </row>
    <row r="21" spans="1:21" ht="26.25" customHeight="1" thickBot="1" x14ac:dyDescent="0.3">
      <c r="A21" s="1271"/>
      <c r="B21" s="203">
        <v>1200</v>
      </c>
      <c r="C21" s="204">
        <v>600</v>
      </c>
      <c r="D21" s="209">
        <v>100</v>
      </c>
      <c r="E21" s="254" t="s">
        <v>89</v>
      </c>
      <c r="F21" s="238" t="s">
        <v>237</v>
      </c>
      <c r="G21" s="205"/>
      <c r="H21" s="124">
        <v>0</v>
      </c>
      <c r="I21" s="170" t="s">
        <v>83</v>
      </c>
      <c r="J21" s="125">
        <v>6</v>
      </c>
      <c r="K21" s="166">
        <v>4.32</v>
      </c>
      <c r="L21" s="126">
        <v>0.432</v>
      </c>
      <c r="M21" s="127">
        <v>16</v>
      </c>
      <c r="N21" s="173">
        <v>6.9119999999999999</v>
      </c>
      <c r="O21" s="223">
        <v>76.031999999999996</v>
      </c>
      <c r="P21" s="126"/>
      <c r="Q21" s="88">
        <f t="shared" si="6"/>
        <v>604.79999999999995</v>
      </c>
      <c r="R21" s="643">
        <f t="shared" si="8"/>
        <v>1400</v>
      </c>
      <c r="S21" s="101">
        <f t="shared" si="7"/>
        <v>140</v>
      </c>
      <c r="U21" s="77"/>
    </row>
    <row r="22" spans="1:21" ht="22.5" customHeight="1" thickBot="1" x14ac:dyDescent="0.3">
      <c r="A22" s="1271"/>
      <c r="B22" s="203">
        <v>1200</v>
      </c>
      <c r="C22" s="204">
        <v>600</v>
      </c>
      <c r="D22" s="209">
        <v>110</v>
      </c>
      <c r="E22" s="254" t="s">
        <v>90</v>
      </c>
      <c r="F22" s="238" t="s">
        <v>46</v>
      </c>
      <c r="G22" s="205">
        <v>322.58064516129031</v>
      </c>
      <c r="H22" s="124">
        <v>50.91234929944607</v>
      </c>
      <c r="I22" s="170">
        <v>969.40800000000013</v>
      </c>
      <c r="J22" s="125">
        <v>4</v>
      </c>
      <c r="K22" s="166">
        <v>2.8800000000000003</v>
      </c>
      <c r="L22" s="132">
        <v>0.31680000000000003</v>
      </c>
      <c r="M22" s="127">
        <v>20</v>
      </c>
      <c r="N22" s="173">
        <v>6.3360000000000003</v>
      </c>
      <c r="O22" s="223">
        <v>69.695999999999998</v>
      </c>
      <c r="P22" s="126"/>
      <c r="Q22" s="88">
        <f t="shared" si="6"/>
        <v>443.52000000000004</v>
      </c>
      <c r="R22" s="643">
        <f t="shared" si="8"/>
        <v>1400</v>
      </c>
      <c r="S22" s="101">
        <f t="shared" si="7"/>
        <v>154</v>
      </c>
      <c r="U22" s="77"/>
    </row>
    <row r="23" spans="1:21" ht="22.5" customHeight="1" thickBot="1" x14ac:dyDescent="0.3">
      <c r="A23" s="1271"/>
      <c r="B23" s="203">
        <v>1200</v>
      </c>
      <c r="C23" s="204">
        <v>600</v>
      </c>
      <c r="D23" s="209">
        <v>120</v>
      </c>
      <c r="E23" s="254" t="s">
        <v>91</v>
      </c>
      <c r="F23" s="238" t="s">
        <v>46</v>
      </c>
      <c r="G23" s="205">
        <v>322.58064516129031</v>
      </c>
      <c r="H23" s="124">
        <v>46.669653524492233</v>
      </c>
      <c r="I23" s="170">
        <v>974.59199999999987</v>
      </c>
      <c r="J23" s="125">
        <v>5</v>
      </c>
      <c r="K23" s="166">
        <v>3.6</v>
      </c>
      <c r="L23" s="126">
        <v>0.432</v>
      </c>
      <c r="M23" s="127">
        <v>16</v>
      </c>
      <c r="N23" s="173">
        <v>6.9119999999999999</v>
      </c>
      <c r="O23" s="223">
        <v>76.031999999999996</v>
      </c>
      <c r="P23" s="126"/>
      <c r="Q23" s="88">
        <f t="shared" si="6"/>
        <v>604.79999999999995</v>
      </c>
      <c r="R23" s="643">
        <f t="shared" si="8"/>
        <v>1400</v>
      </c>
      <c r="S23" s="101">
        <f t="shared" si="7"/>
        <v>168</v>
      </c>
      <c r="U23" s="77"/>
    </row>
    <row r="24" spans="1:21" ht="22.5" customHeight="1" thickBot="1" x14ac:dyDescent="0.3">
      <c r="A24" s="1271"/>
      <c r="B24" s="203">
        <v>1200</v>
      </c>
      <c r="C24" s="204">
        <v>600</v>
      </c>
      <c r="D24" s="209">
        <v>130</v>
      </c>
      <c r="E24" s="254" t="s">
        <v>694</v>
      </c>
      <c r="F24" s="238" t="s">
        <v>46</v>
      </c>
      <c r="G24" s="205">
        <v>322.58064516129031</v>
      </c>
      <c r="H24" s="124">
        <v>53.849600220567957</v>
      </c>
      <c r="I24" s="170"/>
      <c r="J24" s="125">
        <v>3</v>
      </c>
      <c r="K24" s="166">
        <v>2.16</v>
      </c>
      <c r="L24" s="126">
        <v>0.28079999999999999</v>
      </c>
      <c r="M24" s="127">
        <v>24</v>
      </c>
      <c r="N24" s="173">
        <v>6.7392000000000003</v>
      </c>
      <c r="O24" s="223">
        <v>74.131200000000007</v>
      </c>
      <c r="P24" s="126"/>
      <c r="Q24" s="88">
        <f t="shared" si="6"/>
        <v>393.12</v>
      </c>
      <c r="R24" s="643">
        <f t="shared" si="8"/>
        <v>1400</v>
      </c>
      <c r="S24" s="101">
        <f t="shared" si="7"/>
        <v>182</v>
      </c>
      <c r="U24" s="77"/>
    </row>
    <row r="25" spans="1:21" ht="22.5" customHeight="1" thickBot="1" x14ac:dyDescent="0.3">
      <c r="A25" s="1271"/>
      <c r="B25" s="203">
        <v>1200</v>
      </c>
      <c r="C25" s="204">
        <v>600</v>
      </c>
      <c r="D25" s="209">
        <v>140</v>
      </c>
      <c r="E25" s="254" t="s">
        <v>92</v>
      </c>
      <c r="F25" s="238" t="s">
        <v>46</v>
      </c>
      <c r="G25" s="205">
        <v>322.58064516129031</v>
      </c>
      <c r="H25" s="124">
        <v>50.003200204813105</v>
      </c>
      <c r="I25" s="170">
        <v>909.61920000000009</v>
      </c>
      <c r="J25" s="125">
        <v>4</v>
      </c>
      <c r="K25" s="166">
        <v>2.8800000000000003</v>
      </c>
      <c r="L25" s="126">
        <v>0.4032</v>
      </c>
      <c r="M25" s="127">
        <v>16</v>
      </c>
      <c r="N25" s="173">
        <v>6.4512</v>
      </c>
      <c r="O25" s="223">
        <v>70.963200000000001</v>
      </c>
      <c r="P25" s="126"/>
      <c r="Q25" s="88">
        <f t="shared" si="6"/>
        <v>564.48</v>
      </c>
      <c r="R25" s="643">
        <f>R24</f>
        <v>1400</v>
      </c>
      <c r="S25" s="101">
        <f t="shared" si="7"/>
        <v>196</v>
      </c>
      <c r="U25" s="77"/>
    </row>
    <row r="26" spans="1:21" ht="22.5" customHeight="1" thickBot="1" x14ac:dyDescent="0.3">
      <c r="A26" s="1271"/>
      <c r="B26" s="203">
        <v>1200</v>
      </c>
      <c r="C26" s="204">
        <v>600</v>
      </c>
      <c r="D26" s="209">
        <v>150</v>
      </c>
      <c r="E26" s="254" t="s">
        <v>93</v>
      </c>
      <c r="F26" s="238" t="s">
        <v>46</v>
      </c>
      <c r="G26" s="205">
        <v>322.58064516129031</v>
      </c>
      <c r="H26" s="124">
        <v>46.669653524492233</v>
      </c>
      <c r="I26" s="170">
        <v>974.59199999999987</v>
      </c>
      <c r="J26" s="125">
        <v>4</v>
      </c>
      <c r="K26" s="166">
        <v>2.8800000000000003</v>
      </c>
      <c r="L26" s="126">
        <v>0.432</v>
      </c>
      <c r="M26" s="127">
        <v>16</v>
      </c>
      <c r="N26" s="173">
        <v>6.9119999999999999</v>
      </c>
      <c r="O26" s="223">
        <v>76.031999999999996</v>
      </c>
      <c r="P26" s="126"/>
      <c r="Q26" s="88">
        <f t="shared" si="6"/>
        <v>604.79999999999995</v>
      </c>
      <c r="R26" s="643">
        <f t="shared" si="8"/>
        <v>1400</v>
      </c>
      <c r="S26" s="101">
        <f t="shared" si="7"/>
        <v>210</v>
      </c>
      <c r="U26" s="77"/>
    </row>
    <row r="27" spans="1:21" ht="22.5" customHeight="1" thickBot="1" x14ac:dyDescent="0.3">
      <c r="A27" s="1271"/>
      <c r="B27" s="203">
        <v>1200</v>
      </c>
      <c r="C27" s="204">
        <v>600</v>
      </c>
      <c r="D27" s="209">
        <v>160</v>
      </c>
      <c r="E27" s="254" t="s">
        <v>94</v>
      </c>
      <c r="F27" s="238" t="s">
        <v>46</v>
      </c>
      <c r="G27" s="205">
        <v>322.58064516129031</v>
      </c>
      <c r="H27" s="124">
        <v>46.669653524492226</v>
      </c>
      <c r="I27" s="170">
        <v>974.5920000000001</v>
      </c>
      <c r="J27" s="125">
        <v>3</v>
      </c>
      <c r="K27" s="166">
        <v>2.16</v>
      </c>
      <c r="L27" s="126">
        <v>0.34560000000000002</v>
      </c>
      <c r="M27" s="127">
        <v>20</v>
      </c>
      <c r="N27" s="173">
        <v>6.9120000000000008</v>
      </c>
      <c r="O27" s="223">
        <v>76.032000000000011</v>
      </c>
      <c r="P27" s="126"/>
      <c r="Q27" s="88">
        <f t="shared" si="6"/>
        <v>483.84000000000003</v>
      </c>
      <c r="R27" s="643">
        <f t="shared" si="8"/>
        <v>1400</v>
      </c>
      <c r="S27" s="101">
        <f t="shared" si="7"/>
        <v>224</v>
      </c>
      <c r="U27" s="77"/>
    </row>
    <row r="28" spans="1:21" ht="22.5" customHeight="1" thickBot="1" x14ac:dyDescent="0.3">
      <c r="A28" s="1271"/>
      <c r="B28" s="203">
        <v>1200</v>
      </c>
      <c r="C28" s="204">
        <v>600</v>
      </c>
      <c r="D28" s="209">
        <v>170</v>
      </c>
      <c r="E28" s="254" t="s">
        <v>95</v>
      </c>
      <c r="F28" s="238" t="s">
        <v>46</v>
      </c>
      <c r="G28" s="205">
        <v>322.58064516129031</v>
      </c>
      <c r="H28" s="124">
        <v>54.905474734696739</v>
      </c>
      <c r="I28" s="170">
        <v>828.40320000000008</v>
      </c>
      <c r="J28" s="125">
        <v>3</v>
      </c>
      <c r="K28" s="166">
        <v>2.16</v>
      </c>
      <c r="L28" s="126">
        <v>0.36720000000000003</v>
      </c>
      <c r="M28" s="127">
        <v>16</v>
      </c>
      <c r="N28" s="173">
        <v>5.8752000000000004</v>
      </c>
      <c r="O28" s="223">
        <v>64.627200000000002</v>
      </c>
      <c r="P28" s="126"/>
      <c r="Q28" s="88">
        <f t="shared" si="6"/>
        <v>514.08000000000004</v>
      </c>
      <c r="R28" s="643">
        <f t="shared" si="8"/>
        <v>1400</v>
      </c>
      <c r="S28" s="101">
        <f t="shared" si="7"/>
        <v>238</v>
      </c>
      <c r="U28" s="77"/>
    </row>
    <row r="29" spans="1:21" ht="22.5" customHeight="1" thickBot="1" x14ac:dyDescent="0.3">
      <c r="A29" s="1271"/>
      <c r="B29" s="203">
        <v>1200</v>
      </c>
      <c r="C29" s="204">
        <v>600</v>
      </c>
      <c r="D29" s="209">
        <v>180</v>
      </c>
      <c r="E29" s="254" t="s">
        <v>96</v>
      </c>
      <c r="F29" s="238" t="s">
        <v>46</v>
      </c>
      <c r="G29" s="205">
        <v>322.58064516129031</v>
      </c>
      <c r="H29" s="124">
        <v>51.855170582769148</v>
      </c>
      <c r="I29" s="170">
        <v>877.13279999999986</v>
      </c>
      <c r="J29" s="125">
        <v>3</v>
      </c>
      <c r="K29" s="166">
        <v>2.16</v>
      </c>
      <c r="L29" s="126">
        <v>0.38879999999999998</v>
      </c>
      <c r="M29" s="127">
        <v>16</v>
      </c>
      <c r="N29" s="173">
        <v>6.2207999999999997</v>
      </c>
      <c r="O29" s="223">
        <v>68.428799999999995</v>
      </c>
      <c r="P29" s="126"/>
      <c r="Q29" s="88">
        <f t="shared" si="6"/>
        <v>544.31999999999994</v>
      </c>
      <c r="R29" s="643">
        <f t="shared" si="8"/>
        <v>1400</v>
      </c>
      <c r="S29" s="101">
        <f t="shared" si="7"/>
        <v>252</v>
      </c>
      <c r="U29" s="77"/>
    </row>
    <row r="30" spans="1:21" ht="22.5" customHeight="1" thickBot="1" x14ac:dyDescent="0.3">
      <c r="A30" s="1271"/>
      <c r="B30" s="203">
        <v>1200</v>
      </c>
      <c r="C30" s="204">
        <v>600</v>
      </c>
      <c r="D30" s="209">
        <v>190</v>
      </c>
      <c r="E30" s="254" t="s">
        <v>97</v>
      </c>
      <c r="F30" s="238" t="s">
        <v>46</v>
      </c>
      <c r="G30" s="205">
        <v>322.58064516129031</v>
      </c>
      <c r="H30" s="124">
        <v>49.125951078412875</v>
      </c>
      <c r="I30" s="170">
        <v>925.86239999999998</v>
      </c>
      <c r="J30" s="125">
        <v>3</v>
      </c>
      <c r="K30" s="166">
        <v>2.16</v>
      </c>
      <c r="L30" s="126">
        <v>0.41039999999999999</v>
      </c>
      <c r="M30" s="127">
        <v>16</v>
      </c>
      <c r="N30" s="173">
        <v>6.5663999999999998</v>
      </c>
      <c r="O30" s="223">
        <v>72.230400000000003</v>
      </c>
      <c r="P30" s="126"/>
      <c r="Q30" s="88">
        <f t="shared" si="6"/>
        <v>574.55999999999995</v>
      </c>
      <c r="R30" s="643">
        <f t="shared" si="8"/>
        <v>1400</v>
      </c>
      <c r="S30" s="101">
        <f t="shared" si="7"/>
        <v>266</v>
      </c>
      <c r="U30" s="77"/>
    </row>
    <row r="31" spans="1:21" ht="22.5" customHeight="1" thickBot="1" x14ac:dyDescent="0.3">
      <c r="A31" s="1272"/>
      <c r="B31" s="240">
        <v>1200</v>
      </c>
      <c r="C31" s="241">
        <v>600</v>
      </c>
      <c r="D31" s="242">
        <v>200</v>
      </c>
      <c r="E31" s="257" t="s">
        <v>98</v>
      </c>
      <c r="F31" s="238" t="s">
        <v>46</v>
      </c>
      <c r="G31" s="239">
        <v>322.58064516129031</v>
      </c>
      <c r="H31" s="258">
        <v>46.669653524492233</v>
      </c>
      <c r="I31" s="262">
        <v>974.59199999999987</v>
      </c>
      <c r="J31" s="128">
        <v>3</v>
      </c>
      <c r="K31" s="167">
        <v>2.16</v>
      </c>
      <c r="L31" s="129">
        <v>0.432</v>
      </c>
      <c r="M31" s="130">
        <v>16</v>
      </c>
      <c r="N31" s="248">
        <v>6.9119999999999999</v>
      </c>
      <c r="O31" s="243">
        <v>76.031999999999996</v>
      </c>
      <c r="P31" s="129"/>
      <c r="Q31" s="89">
        <f t="shared" si="6"/>
        <v>604.79999999999995</v>
      </c>
      <c r="R31" s="644">
        <f t="shared" si="8"/>
        <v>1400</v>
      </c>
      <c r="S31" s="102">
        <f t="shared" si="7"/>
        <v>280</v>
      </c>
      <c r="U31" s="77"/>
    </row>
    <row r="32" spans="1:21" ht="24.75" customHeight="1" thickBot="1" x14ac:dyDescent="0.3">
      <c r="A32" s="35" t="s">
        <v>8</v>
      </c>
      <c r="B32" s="252">
        <v>1200</v>
      </c>
      <c r="C32" s="250">
        <v>600</v>
      </c>
      <c r="D32" s="251">
        <v>50</v>
      </c>
      <c r="E32" s="253" t="s">
        <v>118</v>
      </c>
      <c r="F32" s="238" t="s">
        <v>238</v>
      </c>
      <c r="G32" s="256"/>
      <c r="H32" s="259">
        <v>0</v>
      </c>
      <c r="I32" s="124" t="s">
        <v>83</v>
      </c>
      <c r="J32" s="131">
        <v>12</v>
      </c>
      <c r="K32" s="168">
        <v>8.64</v>
      </c>
      <c r="L32" s="132">
        <v>0.432</v>
      </c>
      <c r="M32" s="133">
        <v>16</v>
      </c>
      <c r="N32" s="225">
        <v>6.9119999999999999</v>
      </c>
      <c r="O32" s="226">
        <v>76.031999999999996</v>
      </c>
      <c r="P32" s="132"/>
      <c r="Q32" s="88">
        <f>L32*R32</f>
        <v>736.56</v>
      </c>
      <c r="R32" s="643">
        <v>1705</v>
      </c>
      <c r="S32" s="101">
        <f>R32*D32/1000</f>
        <v>85.25</v>
      </c>
      <c r="U32" s="77"/>
    </row>
    <row r="33" spans="1:21" ht="22.5" customHeight="1" thickBot="1" x14ac:dyDescent="0.3">
      <c r="A33" s="1246" t="s">
        <v>31</v>
      </c>
      <c r="B33" s="203">
        <v>1200</v>
      </c>
      <c r="C33" s="204">
        <v>600</v>
      </c>
      <c r="D33" s="209">
        <v>60</v>
      </c>
      <c r="E33" s="254" t="s">
        <v>119</v>
      </c>
      <c r="F33" s="238" t="s">
        <v>46</v>
      </c>
      <c r="G33" s="205">
        <v>285.71428571428572</v>
      </c>
      <c r="H33" s="124">
        <v>41.335978835978835</v>
      </c>
      <c r="I33" s="170">
        <v>953.85599999999999</v>
      </c>
      <c r="J33" s="125">
        <v>10</v>
      </c>
      <c r="K33" s="166">
        <v>7.2</v>
      </c>
      <c r="L33" s="126">
        <v>0.432</v>
      </c>
      <c r="M33" s="127">
        <v>16</v>
      </c>
      <c r="N33" s="175">
        <v>6.9119999999999999</v>
      </c>
      <c r="O33" s="227">
        <v>76.031999999999996</v>
      </c>
      <c r="P33" s="126"/>
      <c r="Q33" s="88">
        <f t="shared" si="6"/>
        <v>736.56</v>
      </c>
      <c r="R33" s="643">
        <v>1705</v>
      </c>
      <c r="S33" s="101">
        <f t="shared" si="7"/>
        <v>102.3</v>
      </c>
      <c r="U33" s="77"/>
    </row>
    <row r="34" spans="1:21" ht="22.5" customHeight="1" thickBot="1" x14ac:dyDescent="0.3">
      <c r="A34" s="1246"/>
      <c r="B34" s="203">
        <v>1200</v>
      </c>
      <c r="C34" s="204">
        <v>600</v>
      </c>
      <c r="D34" s="209">
        <v>70</v>
      </c>
      <c r="E34" s="254" t="s">
        <v>120</v>
      </c>
      <c r="F34" s="238" t="s">
        <v>46</v>
      </c>
      <c r="G34" s="205">
        <v>285.71428571428572</v>
      </c>
      <c r="H34" s="124">
        <v>44.288548752834465</v>
      </c>
      <c r="I34" s="170">
        <v>928.97280000000001</v>
      </c>
      <c r="J34" s="125">
        <v>8</v>
      </c>
      <c r="K34" s="166">
        <v>5.7600000000000007</v>
      </c>
      <c r="L34" s="126">
        <v>0.4032</v>
      </c>
      <c r="M34" s="127">
        <v>16</v>
      </c>
      <c r="N34" s="175">
        <v>6.4512</v>
      </c>
      <c r="O34" s="227">
        <v>70.963200000000001</v>
      </c>
      <c r="P34" s="126"/>
      <c r="Q34" s="88">
        <f t="shared" si="6"/>
        <v>687.45600000000002</v>
      </c>
      <c r="R34" s="643">
        <v>1705</v>
      </c>
      <c r="S34" s="101">
        <f t="shared" si="7"/>
        <v>119.35</v>
      </c>
      <c r="U34" s="77"/>
    </row>
    <row r="35" spans="1:21" ht="22.5" customHeight="1" thickBot="1" x14ac:dyDescent="0.3">
      <c r="A35" s="1246"/>
      <c r="B35" s="203">
        <v>1200</v>
      </c>
      <c r="C35" s="204">
        <v>600</v>
      </c>
      <c r="D35" s="209">
        <v>80</v>
      </c>
      <c r="E35" s="254" t="s">
        <v>121</v>
      </c>
      <c r="F35" s="238" t="s">
        <v>46</v>
      </c>
      <c r="G35" s="205">
        <v>285.71428571428572</v>
      </c>
      <c r="H35" s="124">
        <v>41.335978835978835</v>
      </c>
      <c r="I35" s="170">
        <v>870.91200000000003</v>
      </c>
      <c r="J35" s="125">
        <v>6</v>
      </c>
      <c r="K35" s="166">
        <v>4.32</v>
      </c>
      <c r="L35" s="126">
        <v>0.34560000000000002</v>
      </c>
      <c r="M35" s="127">
        <v>20</v>
      </c>
      <c r="N35" s="175">
        <v>6.9120000000000008</v>
      </c>
      <c r="O35" s="227">
        <v>76.032000000000011</v>
      </c>
      <c r="P35" s="126"/>
      <c r="Q35" s="88">
        <f t="shared" si="6"/>
        <v>589.24800000000005</v>
      </c>
      <c r="R35" s="643">
        <v>1705</v>
      </c>
      <c r="S35" s="101">
        <f t="shared" si="7"/>
        <v>136.4</v>
      </c>
      <c r="U35" s="77"/>
    </row>
    <row r="36" spans="1:21" ht="22.5" customHeight="1" thickBot="1" x14ac:dyDescent="0.3">
      <c r="A36" s="1246"/>
      <c r="B36" s="203">
        <v>1200</v>
      </c>
      <c r="C36" s="204">
        <v>600</v>
      </c>
      <c r="D36" s="209">
        <v>90</v>
      </c>
      <c r="E36" s="254" t="s">
        <v>122</v>
      </c>
      <c r="F36" s="238" t="s">
        <v>46</v>
      </c>
      <c r="G36" s="205">
        <v>285.71428571428572</v>
      </c>
      <c r="H36" s="124">
        <v>45.928865373309819</v>
      </c>
      <c r="I36" s="170">
        <v>858.47039999999993</v>
      </c>
      <c r="J36" s="125">
        <v>6</v>
      </c>
      <c r="K36" s="166">
        <v>4.32</v>
      </c>
      <c r="L36" s="126">
        <v>0.38879999999999998</v>
      </c>
      <c r="M36" s="127">
        <v>16</v>
      </c>
      <c r="N36" s="175">
        <v>6.2207999999999997</v>
      </c>
      <c r="O36" s="227">
        <v>68.428799999999995</v>
      </c>
      <c r="P36" s="126"/>
      <c r="Q36" s="88">
        <f t="shared" si="6"/>
        <v>662.904</v>
      </c>
      <c r="R36" s="643">
        <v>1705</v>
      </c>
      <c r="S36" s="101">
        <f t="shared" si="7"/>
        <v>153.44999999999999</v>
      </c>
      <c r="U36" s="77"/>
    </row>
    <row r="37" spans="1:21" ht="24.75" customHeight="1" thickBot="1" x14ac:dyDescent="0.3">
      <c r="A37" s="1246"/>
      <c r="B37" s="203">
        <v>1200</v>
      </c>
      <c r="C37" s="204">
        <v>600</v>
      </c>
      <c r="D37" s="209">
        <v>100</v>
      </c>
      <c r="E37" s="254" t="s">
        <v>123</v>
      </c>
      <c r="F37" s="238" t="s">
        <v>238</v>
      </c>
      <c r="G37" s="205"/>
      <c r="H37" s="124">
        <v>0</v>
      </c>
      <c r="I37" s="224" t="s">
        <v>83</v>
      </c>
      <c r="J37" s="125">
        <v>6</v>
      </c>
      <c r="K37" s="166">
        <v>4.32</v>
      </c>
      <c r="L37" s="126">
        <v>0.432</v>
      </c>
      <c r="M37" s="127">
        <v>16</v>
      </c>
      <c r="N37" s="175">
        <v>6.9119999999999999</v>
      </c>
      <c r="O37" s="227">
        <v>76.031999999999996</v>
      </c>
      <c r="P37" s="126"/>
      <c r="Q37" s="88">
        <f t="shared" si="6"/>
        <v>736.56</v>
      </c>
      <c r="R37" s="643">
        <v>1705</v>
      </c>
      <c r="S37" s="101">
        <f t="shared" si="7"/>
        <v>170.5</v>
      </c>
      <c r="U37" s="77"/>
    </row>
    <row r="38" spans="1:21" ht="22.5" customHeight="1" thickBot="1" x14ac:dyDescent="0.3">
      <c r="A38" s="1246"/>
      <c r="B38" s="203">
        <v>1200</v>
      </c>
      <c r="C38" s="204">
        <v>600</v>
      </c>
      <c r="D38" s="209">
        <v>110</v>
      </c>
      <c r="E38" s="254" t="s">
        <v>124</v>
      </c>
      <c r="F38" s="238" t="s">
        <v>46</v>
      </c>
      <c r="G38" s="205">
        <v>285.71428571428572</v>
      </c>
      <c r="H38" s="124">
        <v>45.093795093795094</v>
      </c>
      <c r="I38" s="170">
        <v>874.36800000000005</v>
      </c>
      <c r="J38" s="125">
        <v>5</v>
      </c>
      <c r="K38" s="166">
        <v>3.6000000000000005</v>
      </c>
      <c r="L38" s="126">
        <v>0.39600000000000002</v>
      </c>
      <c r="M38" s="127">
        <v>16</v>
      </c>
      <c r="N38" s="175">
        <v>6.3360000000000003</v>
      </c>
      <c r="O38" s="227">
        <v>69.695999999999998</v>
      </c>
      <c r="P38" s="126"/>
      <c r="Q38" s="88">
        <f t="shared" si="6"/>
        <v>675.18000000000006</v>
      </c>
      <c r="R38" s="643">
        <v>1705</v>
      </c>
      <c r="S38" s="101">
        <f t="shared" si="7"/>
        <v>187.55</v>
      </c>
      <c r="U38" s="77"/>
    </row>
    <row r="39" spans="1:21" ht="22.5" customHeight="1" thickBot="1" x14ac:dyDescent="0.3">
      <c r="A39" s="1246"/>
      <c r="B39" s="203">
        <v>1200</v>
      </c>
      <c r="C39" s="204">
        <v>600</v>
      </c>
      <c r="D39" s="209">
        <v>120</v>
      </c>
      <c r="E39" s="254" t="s">
        <v>125</v>
      </c>
      <c r="F39" s="238" t="s">
        <v>46</v>
      </c>
      <c r="G39" s="205">
        <v>285.71428571428572</v>
      </c>
      <c r="H39" s="124">
        <v>41.335978835978835</v>
      </c>
      <c r="I39" s="170">
        <v>870.91199999999992</v>
      </c>
      <c r="J39" s="125">
        <v>5</v>
      </c>
      <c r="K39" s="166">
        <v>3.6</v>
      </c>
      <c r="L39" s="126">
        <v>0.432</v>
      </c>
      <c r="M39" s="127">
        <v>16</v>
      </c>
      <c r="N39" s="175">
        <v>6.9119999999999999</v>
      </c>
      <c r="O39" s="227">
        <v>76.031999999999996</v>
      </c>
      <c r="P39" s="126"/>
      <c r="Q39" s="88">
        <f t="shared" si="6"/>
        <v>736.56</v>
      </c>
      <c r="R39" s="643">
        <v>1705</v>
      </c>
      <c r="S39" s="101">
        <f t="shared" si="7"/>
        <v>204.6</v>
      </c>
      <c r="U39" s="77"/>
    </row>
    <row r="40" spans="1:21" ht="22.5" customHeight="1" thickBot="1" x14ac:dyDescent="0.3">
      <c r="A40" s="1246"/>
      <c r="B40" s="203">
        <v>1200</v>
      </c>
      <c r="C40" s="204">
        <v>600</v>
      </c>
      <c r="D40" s="209">
        <v>130</v>
      </c>
      <c r="E40" s="254" t="s">
        <v>695</v>
      </c>
      <c r="F40" s="238" t="s">
        <v>46</v>
      </c>
      <c r="G40" s="205">
        <v>285.71428571428572</v>
      </c>
      <c r="H40" s="124">
        <v>47.695360195360195</v>
      </c>
      <c r="I40" s="170"/>
      <c r="J40" s="125">
        <v>3</v>
      </c>
      <c r="K40" s="166">
        <v>2.16</v>
      </c>
      <c r="L40" s="126">
        <v>0.28079999999999999</v>
      </c>
      <c r="M40" s="127">
        <v>24</v>
      </c>
      <c r="N40" s="175">
        <v>6.7392000000000003</v>
      </c>
      <c r="O40" s="227">
        <v>74.131200000000007</v>
      </c>
      <c r="P40" s="126"/>
      <c r="Q40" s="88">
        <f t="shared" si="6"/>
        <v>478.76400000000001</v>
      </c>
      <c r="R40" s="643">
        <v>1705</v>
      </c>
      <c r="S40" s="101">
        <f t="shared" si="7"/>
        <v>221.65</v>
      </c>
      <c r="U40" s="77"/>
    </row>
    <row r="41" spans="1:21" ht="22.5" customHeight="1" thickBot="1" x14ac:dyDescent="0.3">
      <c r="A41" s="1246"/>
      <c r="B41" s="203">
        <v>1200</v>
      </c>
      <c r="C41" s="204">
        <v>600</v>
      </c>
      <c r="D41" s="209">
        <v>140</v>
      </c>
      <c r="E41" s="254" t="s">
        <v>126</v>
      </c>
      <c r="F41" s="238" t="s">
        <v>46</v>
      </c>
      <c r="G41" s="205">
        <v>285.71428571428572</v>
      </c>
      <c r="H41" s="124">
        <v>44.288548752834465</v>
      </c>
      <c r="I41" s="170">
        <v>870.91199999999992</v>
      </c>
      <c r="J41" s="125">
        <v>4</v>
      </c>
      <c r="K41" s="166">
        <v>2.8800000000000003</v>
      </c>
      <c r="L41" s="126">
        <v>0.4032</v>
      </c>
      <c r="M41" s="127">
        <v>16</v>
      </c>
      <c r="N41" s="175">
        <v>6.4512</v>
      </c>
      <c r="O41" s="227">
        <v>70.963200000000001</v>
      </c>
      <c r="P41" s="126"/>
      <c r="Q41" s="88">
        <f t="shared" si="6"/>
        <v>687.45600000000002</v>
      </c>
      <c r="R41" s="643">
        <v>1705</v>
      </c>
      <c r="S41" s="101">
        <f t="shared" si="7"/>
        <v>238.7</v>
      </c>
      <c r="U41" s="77"/>
    </row>
    <row r="42" spans="1:21" ht="22.5" customHeight="1" thickBot="1" x14ac:dyDescent="0.3">
      <c r="A42" s="1246"/>
      <c r="B42" s="203">
        <v>1200</v>
      </c>
      <c r="C42" s="204">
        <v>600</v>
      </c>
      <c r="D42" s="209">
        <v>150</v>
      </c>
      <c r="E42" s="254" t="s">
        <v>127</v>
      </c>
      <c r="F42" s="238" t="s">
        <v>46</v>
      </c>
      <c r="G42" s="205">
        <v>285.71428571428572</v>
      </c>
      <c r="H42" s="124">
        <v>41.335978835978835</v>
      </c>
      <c r="I42" s="170">
        <v>870.91199999999992</v>
      </c>
      <c r="J42" s="125">
        <v>4</v>
      </c>
      <c r="K42" s="166">
        <v>2.8800000000000003</v>
      </c>
      <c r="L42" s="126">
        <v>0.432</v>
      </c>
      <c r="M42" s="127">
        <v>16</v>
      </c>
      <c r="N42" s="175">
        <v>6.9119999999999999</v>
      </c>
      <c r="O42" s="227">
        <v>76.031999999999996</v>
      </c>
      <c r="P42" s="126"/>
      <c r="Q42" s="88">
        <f t="shared" si="6"/>
        <v>736.56</v>
      </c>
      <c r="R42" s="643">
        <v>1705</v>
      </c>
      <c r="S42" s="101">
        <f t="shared" si="7"/>
        <v>255.75</v>
      </c>
      <c r="U42" s="77"/>
    </row>
    <row r="43" spans="1:21" ht="22.5" customHeight="1" thickBot="1" x14ac:dyDescent="0.3">
      <c r="A43" s="1246"/>
      <c r="B43" s="203">
        <v>1200</v>
      </c>
      <c r="C43" s="204">
        <v>600</v>
      </c>
      <c r="D43" s="209">
        <v>160</v>
      </c>
      <c r="E43" s="254" t="s">
        <v>128</v>
      </c>
      <c r="F43" s="238" t="s">
        <v>46</v>
      </c>
      <c r="G43" s="205">
        <v>285.71428571428572</v>
      </c>
      <c r="H43" s="124">
        <v>41.335978835978835</v>
      </c>
      <c r="I43" s="170">
        <v>870.91200000000003</v>
      </c>
      <c r="J43" s="125">
        <v>3</v>
      </c>
      <c r="K43" s="166">
        <v>2.16</v>
      </c>
      <c r="L43" s="126">
        <v>0.34560000000000002</v>
      </c>
      <c r="M43" s="127">
        <v>20</v>
      </c>
      <c r="N43" s="175">
        <v>6.9120000000000008</v>
      </c>
      <c r="O43" s="227">
        <v>76.032000000000011</v>
      </c>
      <c r="P43" s="126"/>
      <c r="Q43" s="88">
        <f t="shared" si="6"/>
        <v>589.24800000000005</v>
      </c>
      <c r="R43" s="643">
        <v>1705</v>
      </c>
      <c r="S43" s="101">
        <f t="shared" si="7"/>
        <v>272.8</v>
      </c>
      <c r="U43" s="77"/>
    </row>
    <row r="44" spans="1:21" ht="22.5" customHeight="1" thickBot="1" x14ac:dyDescent="0.3">
      <c r="A44" s="1246"/>
      <c r="B44" s="203">
        <v>1200</v>
      </c>
      <c r="C44" s="204">
        <v>600</v>
      </c>
      <c r="D44" s="209">
        <v>170</v>
      </c>
      <c r="E44" s="254" t="s">
        <v>129</v>
      </c>
      <c r="F44" s="238" t="s">
        <v>46</v>
      </c>
      <c r="G44" s="205">
        <v>285.71428571428572</v>
      </c>
      <c r="H44" s="124">
        <v>48.63056333644569</v>
      </c>
      <c r="I44" s="170">
        <v>740.27520000000004</v>
      </c>
      <c r="J44" s="125">
        <v>3</v>
      </c>
      <c r="K44" s="166">
        <v>2.16</v>
      </c>
      <c r="L44" s="126">
        <v>0.36720000000000003</v>
      </c>
      <c r="M44" s="127">
        <v>16</v>
      </c>
      <c r="N44" s="175">
        <v>5.8752000000000004</v>
      </c>
      <c r="O44" s="227">
        <v>64.627200000000002</v>
      </c>
      <c r="P44" s="126"/>
      <c r="Q44" s="88">
        <f t="shared" si="6"/>
        <v>626.07600000000002</v>
      </c>
      <c r="R44" s="643">
        <v>1705</v>
      </c>
      <c r="S44" s="101">
        <f t="shared" si="7"/>
        <v>289.85000000000002</v>
      </c>
      <c r="U44" s="77"/>
    </row>
    <row r="45" spans="1:21" ht="22.5" customHeight="1" thickBot="1" x14ac:dyDescent="0.3">
      <c r="A45" s="1246"/>
      <c r="B45" s="203">
        <v>1200</v>
      </c>
      <c r="C45" s="204">
        <v>600</v>
      </c>
      <c r="D45" s="209">
        <v>180</v>
      </c>
      <c r="E45" s="254" t="s">
        <v>130</v>
      </c>
      <c r="F45" s="238" t="s">
        <v>46</v>
      </c>
      <c r="G45" s="205">
        <v>285.71428571428572</v>
      </c>
      <c r="H45" s="124">
        <v>45.928865373309819</v>
      </c>
      <c r="I45" s="170">
        <v>783.82079999999996</v>
      </c>
      <c r="J45" s="125">
        <v>3</v>
      </c>
      <c r="K45" s="166">
        <v>2.16</v>
      </c>
      <c r="L45" s="126">
        <v>0.38879999999999998</v>
      </c>
      <c r="M45" s="127">
        <v>16</v>
      </c>
      <c r="N45" s="175">
        <v>6.2207999999999997</v>
      </c>
      <c r="O45" s="227">
        <v>68.428799999999995</v>
      </c>
      <c r="P45" s="126"/>
      <c r="Q45" s="88">
        <f t="shared" si="6"/>
        <v>662.904</v>
      </c>
      <c r="R45" s="643">
        <v>1705</v>
      </c>
      <c r="S45" s="101">
        <f t="shared" si="7"/>
        <v>306.89999999999998</v>
      </c>
      <c r="U45" s="77"/>
    </row>
    <row r="46" spans="1:21" ht="22.5" customHeight="1" thickBot="1" x14ac:dyDescent="0.3">
      <c r="A46" s="1246"/>
      <c r="B46" s="203">
        <v>1200</v>
      </c>
      <c r="C46" s="204">
        <v>600</v>
      </c>
      <c r="D46" s="209">
        <v>190</v>
      </c>
      <c r="E46" s="254" t="s">
        <v>131</v>
      </c>
      <c r="F46" s="238" t="s">
        <v>46</v>
      </c>
      <c r="G46" s="205">
        <v>285.71428571428572</v>
      </c>
      <c r="H46" s="124">
        <v>43.511556669451409</v>
      </c>
      <c r="I46" s="170">
        <v>827.36639999999989</v>
      </c>
      <c r="J46" s="125">
        <v>3</v>
      </c>
      <c r="K46" s="166">
        <v>2.16</v>
      </c>
      <c r="L46" s="126">
        <v>0.41039999999999999</v>
      </c>
      <c r="M46" s="127">
        <v>16</v>
      </c>
      <c r="N46" s="175">
        <v>6.5663999999999998</v>
      </c>
      <c r="O46" s="227">
        <v>72.230400000000003</v>
      </c>
      <c r="P46" s="126"/>
      <c r="Q46" s="88">
        <f t="shared" si="6"/>
        <v>699.73199999999997</v>
      </c>
      <c r="R46" s="643">
        <v>1705</v>
      </c>
      <c r="S46" s="101">
        <f t="shared" si="7"/>
        <v>323.95</v>
      </c>
      <c r="U46" s="77"/>
    </row>
    <row r="47" spans="1:21" ht="22.5" customHeight="1" thickBot="1" x14ac:dyDescent="0.3">
      <c r="A47" s="1247"/>
      <c r="B47" s="240">
        <v>1200</v>
      </c>
      <c r="C47" s="241">
        <v>600</v>
      </c>
      <c r="D47" s="242">
        <v>200</v>
      </c>
      <c r="E47" s="257" t="s">
        <v>132</v>
      </c>
      <c r="F47" s="238" t="s">
        <v>46</v>
      </c>
      <c r="G47" s="239">
        <v>285.71428571428572</v>
      </c>
      <c r="H47" s="124">
        <v>41.335978835978835</v>
      </c>
      <c r="I47" s="262">
        <v>870.91199999999992</v>
      </c>
      <c r="J47" s="128">
        <v>3</v>
      </c>
      <c r="K47" s="167">
        <v>2.16</v>
      </c>
      <c r="L47" s="129">
        <v>0.432</v>
      </c>
      <c r="M47" s="130">
        <v>16</v>
      </c>
      <c r="N47" s="248">
        <v>6.9119999999999999</v>
      </c>
      <c r="O47" s="243">
        <v>76.031999999999996</v>
      </c>
      <c r="P47" s="129"/>
      <c r="Q47" s="89">
        <f t="shared" si="6"/>
        <v>736.56</v>
      </c>
      <c r="R47" s="644">
        <v>1705</v>
      </c>
      <c r="S47" s="102">
        <f t="shared" si="7"/>
        <v>341</v>
      </c>
      <c r="U47" s="77"/>
    </row>
    <row r="48" spans="1:21" ht="22.5" customHeight="1" thickBot="1" x14ac:dyDescent="0.3">
      <c r="A48" s="35" t="s">
        <v>9</v>
      </c>
      <c r="B48" s="252">
        <v>1200</v>
      </c>
      <c r="C48" s="250">
        <v>600</v>
      </c>
      <c r="D48" s="251">
        <v>50</v>
      </c>
      <c r="E48" s="253" t="s">
        <v>104</v>
      </c>
      <c r="F48" s="238" t="s">
        <v>238</v>
      </c>
      <c r="G48" s="256"/>
      <c r="H48" s="124">
        <v>0</v>
      </c>
      <c r="I48" s="224" t="s">
        <v>83</v>
      </c>
      <c r="J48" s="131">
        <v>12</v>
      </c>
      <c r="K48" s="168">
        <v>8.64</v>
      </c>
      <c r="L48" s="228">
        <v>0.432</v>
      </c>
      <c r="M48" s="133">
        <v>16</v>
      </c>
      <c r="N48" s="171">
        <v>6.9119999999999999</v>
      </c>
      <c r="O48" s="229">
        <v>76.031999999999996</v>
      </c>
      <c r="P48" s="228"/>
      <c r="Q48" s="88">
        <f>L48*R48</f>
        <v>748.22400000000005</v>
      </c>
      <c r="R48" s="643">
        <v>1732</v>
      </c>
      <c r="S48" s="101">
        <f>R48*D48/1000</f>
        <v>86.6</v>
      </c>
      <c r="U48" s="77"/>
    </row>
    <row r="49" spans="1:21" ht="22.5" customHeight="1" thickBot="1" x14ac:dyDescent="0.3">
      <c r="A49" s="877"/>
      <c r="B49" s="203">
        <v>1200</v>
      </c>
      <c r="C49" s="204">
        <v>600</v>
      </c>
      <c r="D49" s="209">
        <v>50</v>
      </c>
      <c r="E49" s="254" t="s">
        <v>460</v>
      </c>
      <c r="F49" s="238" t="s">
        <v>46</v>
      </c>
      <c r="G49" s="205">
        <v>222.22222222222223</v>
      </c>
      <c r="H49" s="124">
        <v>32.150205761316876</v>
      </c>
      <c r="I49" s="170"/>
      <c r="J49" s="125">
        <v>8</v>
      </c>
      <c r="K49" s="166"/>
      <c r="L49" s="126"/>
      <c r="M49" s="127"/>
      <c r="N49" s="173"/>
      <c r="O49" s="220">
        <v>76.031999999999996</v>
      </c>
      <c r="P49" s="126"/>
      <c r="Q49" s="88">
        <f t="shared" ref="Q49" si="9">L49*R49</f>
        <v>0</v>
      </c>
      <c r="R49" s="643">
        <v>1732</v>
      </c>
      <c r="S49" s="101">
        <f t="shared" ref="S49" si="10">R49*D49/1000</f>
        <v>86.6</v>
      </c>
      <c r="U49" s="77"/>
    </row>
    <row r="50" spans="1:21" ht="22.5" customHeight="1" thickBot="1" x14ac:dyDescent="0.3">
      <c r="A50" s="770"/>
      <c r="B50" s="203">
        <v>1200</v>
      </c>
      <c r="C50" s="204">
        <v>600</v>
      </c>
      <c r="D50" s="209">
        <v>50</v>
      </c>
      <c r="E50" s="254" t="s">
        <v>610</v>
      </c>
      <c r="F50" s="238" t="s">
        <v>46</v>
      </c>
      <c r="G50" s="205">
        <v>222.22222222222223</v>
      </c>
      <c r="H50" s="124">
        <v>32.150205761316876</v>
      </c>
      <c r="I50" s="170"/>
      <c r="J50" s="125">
        <v>6</v>
      </c>
      <c r="K50" s="166"/>
      <c r="L50" s="126"/>
      <c r="M50" s="127"/>
      <c r="N50" s="173"/>
      <c r="O50" s="220">
        <v>76.031999999999996</v>
      </c>
      <c r="P50" s="126"/>
      <c r="Q50" s="88" t="e">
        <f t="shared" ref="Q50" si="11">L50*R50</f>
        <v>#VALUE!</v>
      </c>
      <c r="R50" s="643" t="s">
        <v>528</v>
      </c>
      <c r="S50" s="101" t="e">
        <f t="shared" ref="S50" si="12">R50*D50/1000</f>
        <v>#VALUE!</v>
      </c>
      <c r="U50" s="77"/>
    </row>
    <row r="51" spans="1:21" ht="22.5" customHeight="1" thickBot="1" x14ac:dyDescent="0.3">
      <c r="A51" s="708" t="s">
        <v>26</v>
      </c>
      <c r="B51" s="203">
        <v>1200</v>
      </c>
      <c r="C51" s="204">
        <v>600</v>
      </c>
      <c r="D51" s="209">
        <v>60</v>
      </c>
      <c r="E51" s="254" t="s">
        <v>105</v>
      </c>
      <c r="F51" s="238" t="s">
        <v>46</v>
      </c>
      <c r="G51" s="205">
        <v>222.22222222222223</v>
      </c>
      <c r="H51" s="124">
        <v>32.150205761316876</v>
      </c>
      <c r="I51" s="170">
        <v>746.49599999999998</v>
      </c>
      <c r="J51" s="125">
        <v>10</v>
      </c>
      <c r="K51" s="166">
        <v>7.2</v>
      </c>
      <c r="L51" s="126">
        <v>0.432</v>
      </c>
      <c r="M51" s="127">
        <v>16</v>
      </c>
      <c r="N51" s="173">
        <v>6.9119999999999999</v>
      </c>
      <c r="O51" s="220">
        <v>76.031999999999996</v>
      </c>
      <c r="P51" s="126"/>
      <c r="Q51" s="88">
        <f t="shared" si="6"/>
        <v>748.22400000000005</v>
      </c>
      <c r="R51" s="643">
        <f>R49</f>
        <v>1732</v>
      </c>
      <c r="S51" s="101">
        <f t="shared" si="7"/>
        <v>103.92</v>
      </c>
      <c r="U51" s="77"/>
    </row>
    <row r="52" spans="1:21" ht="22.5" customHeight="1" thickBot="1" x14ac:dyDescent="0.3">
      <c r="A52" s="708"/>
      <c r="B52" s="203">
        <v>1200</v>
      </c>
      <c r="C52" s="204">
        <v>600</v>
      </c>
      <c r="D52" s="209">
        <v>70</v>
      </c>
      <c r="E52" s="254" t="s">
        <v>106</v>
      </c>
      <c r="F52" s="238" t="s">
        <v>46</v>
      </c>
      <c r="G52" s="205">
        <v>222.22222222222223</v>
      </c>
      <c r="H52" s="124">
        <v>34.446649029982368</v>
      </c>
      <c r="I52" s="170">
        <v>716.08320000000003</v>
      </c>
      <c r="J52" s="125">
        <v>8</v>
      </c>
      <c r="K52" s="166">
        <v>5.7600000000000007</v>
      </c>
      <c r="L52" s="126">
        <v>0.4032</v>
      </c>
      <c r="M52" s="127">
        <v>16</v>
      </c>
      <c r="N52" s="173">
        <v>6.4512</v>
      </c>
      <c r="O52" s="230">
        <v>70.963200000000001</v>
      </c>
      <c r="P52" s="126"/>
      <c r="Q52" s="88">
        <f t="shared" si="6"/>
        <v>698.3424</v>
      </c>
      <c r="R52" s="643">
        <f>R51</f>
        <v>1732</v>
      </c>
      <c r="S52" s="101">
        <f t="shared" si="7"/>
        <v>121.24</v>
      </c>
      <c r="U52" s="77"/>
    </row>
    <row r="53" spans="1:21" ht="22.5" customHeight="1" thickBot="1" x14ac:dyDescent="0.3">
      <c r="A53" s="708"/>
      <c r="B53" s="203">
        <v>1200</v>
      </c>
      <c r="C53" s="204">
        <v>600</v>
      </c>
      <c r="D53" s="209">
        <v>80</v>
      </c>
      <c r="E53" s="254" t="s">
        <v>107</v>
      </c>
      <c r="F53" s="238" t="s">
        <v>46</v>
      </c>
      <c r="G53" s="205">
        <v>222.22222222222223</v>
      </c>
      <c r="H53" s="124">
        <v>32.150205761316869</v>
      </c>
      <c r="I53" s="170">
        <v>684.28800000000012</v>
      </c>
      <c r="J53" s="125">
        <v>6</v>
      </c>
      <c r="K53" s="166">
        <v>4.32</v>
      </c>
      <c r="L53" s="126">
        <v>0.34560000000000002</v>
      </c>
      <c r="M53" s="127">
        <v>20</v>
      </c>
      <c r="N53" s="173">
        <v>6.9120000000000008</v>
      </c>
      <c r="O53" s="231">
        <v>76.032000000000011</v>
      </c>
      <c r="P53" s="126"/>
      <c r="Q53" s="88">
        <f t="shared" si="6"/>
        <v>598.57920000000001</v>
      </c>
      <c r="R53" s="643">
        <f t="shared" ref="R53:R66" si="13">R51</f>
        <v>1732</v>
      </c>
      <c r="S53" s="101">
        <f t="shared" si="7"/>
        <v>138.56</v>
      </c>
      <c r="U53" s="77"/>
    </row>
    <row r="54" spans="1:21" ht="22.5" customHeight="1" thickBot="1" x14ac:dyDescent="0.3">
      <c r="A54" s="708"/>
      <c r="B54" s="203">
        <v>1200</v>
      </c>
      <c r="C54" s="204">
        <v>600</v>
      </c>
      <c r="D54" s="209">
        <v>90</v>
      </c>
      <c r="E54" s="254" t="s">
        <v>108</v>
      </c>
      <c r="F54" s="238" t="s">
        <v>46</v>
      </c>
      <c r="G54" s="205">
        <v>222.22222222222223</v>
      </c>
      <c r="H54" s="124">
        <v>35.722450845907638</v>
      </c>
      <c r="I54" s="170">
        <v>671.8463999999999</v>
      </c>
      <c r="J54" s="125">
        <v>6</v>
      </c>
      <c r="K54" s="166">
        <v>4.32</v>
      </c>
      <c r="L54" s="132">
        <v>0.38879999999999998</v>
      </c>
      <c r="M54" s="127">
        <v>16</v>
      </c>
      <c r="N54" s="173">
        <v>6.2207999999999997</v>
      </c>
      <c r="O54" s="231">
        <v>68.428799999999995</v>
      </c>
      <c r="P54" s="126"/>
      <c r="Q54" s="88">
        <f t="shared" si="6"/>
        <v>673.40159999999992</v>
      </c>
      <c r="R54" s="643">
        <f t="shared" si="13"/>
        <v>1732</v>
      </c>
      <c r="S54" s="101">
        <f t="shared" si="7"/>
        <v>155.88</v>
      </c>
      <c r="U54" s="77"/>
    </row>
    <row r="55" spans="1:21" ht="22.5" customHeight="1" thickBot="1" x14ac:dyDescent="0.3">
      <c r="A55" s="708"/>
      <c r="B55" s="203">
        <v>1200</v>
      </c>
      <c r="C55" s="204">
        <v>600</v>
      </c>
      <c r="D55" s="209">
        <v>100</v>
      </c>
      <c r="E55" s="254" t="s">
        <v>109</v>
      </c>
      <c r="F55" s="238" t="s">
        <v>239</v>
      </c>
      <c r="G55" s="205"/>
      <c r="H55" s="124">
        <v>0</v>
      </c>
      <c r="I55" s="170" t="s">
        <v>179</v>
      </c>
      <c r="J55" s="125">
        <v>6</v>
      </c>
      <c r="K55" s="166">
        <v>4.32</v>
      </c>
      <c r="L55" s="126">
        <v>0.432</v>
      </c>
      <c r="M55" s="127">
        <v>16</v>
      </c>
      <c r="N55" s="173">
        <v>6.9119999999999999</v>
      </c>
      <c r="O55" s="220">
        <v>76.031999999999996</v>
      </c>
      <c r="P55" s="126"/>
      <c r="Q55" s="88">
        <f t="shared" si="6"/>
        <v>748.22400000000005</v>
      </c>
      <c r="R55" s="643">
        <v>1732</v>
      </c>
      <c r="S55" s="101">
        <f t="shared" si="7"/>
        <v>173.2</v>
      </c>
      <c r="U55" s="77"/>
    </row>
    <row r="56" spans="1:21" ht="22.5" customHeight="1" thickBot="1" x14ac:dyDescent="0.3">
      <c r="A56" s="708"/>
      <c r="B56" s="203">
        <v>1200</v>
      </c>
      <c r="C56" s="204">
        <v>600</v>
      </c>
      <c r="D56" s="209">
        <v>100</v>
      </c>
      <c r="E56" s="254" t="s">
        <v>461</v>
      </c>
      <c r="F56" s="238" t="s">
        <v>46</v>
      </c>
      <c r="G56" s="205"/>
      <c r="H56" s="124">
        <v>0</v>
      </c>
      <c r="I56" s="170"/>
      <c r="J56" s="125">
        <v>4</v>
      </c>
      <c r="K56" s="166"/>
      <c r="L56" s="126"/>
      <c r="M56" s="127"/>
      <c r="N56" s="173"/>
      <c r="O56" s="230">
        <v>76.031999999999996</v>
      </c>
      <c r="P56" s="126"/>
      <c r="Q56" s="88">
        <f t="shared" si="6"/>
        <v>0</v>
      </c>
      <c r="R56" s="643">
        <f t="shared" si="13"/>
        <v>1732</v>
      </c>
      <c r="S56" s="101">
        <f t="shared" si="7"/>
        <v>173.2</v>
      </c>
      <c r="U56" s="77"/>
    </row>
    <row r="57" spans="1:21" ht="22.5" customHeight="1" thickBot="1" x14ac:dyDescent="0.3">
      <c r="A57" s="708"/>
      <c r="B57" s="203">
        <v>1200</v>
      </c>
      <c r="C57" s="204">
        <v>600</v>
      </c>
      <c r="D57" s="209">
        <v>110</v>
      </c>
      <c r="E57" s="254" t="s">
        <v>696</v>
      </c>
      <c r="F57" s="238" t="s">
        <v>46</v>
      </c>
      <c r="G57" s="205">
        <v>222.22222222222223</v>
      </c>
      <c r="H57" s="124">
        <v>35.072951739618404</v>
      </c>
      <c r="I57" s="170"/>
      <c r="J57" s="125">
        <v>3</v>
      </c>
      <c r="K57" s="166">
        <v>2.16</v>
      </c>
      <c r="L57" s="126">
        <v>0.23760000000000001</v>
      </c>
      <c r="M57" s="127">
        <v>28</v>
      </c>
      <c r="N57" s="173">
        <v>6.6528</v>
      </c>
      <c r="O57" s="231">
        <v>73.180800000000005</v>
      </c>
      <c r="P57" s="126"/>
      <c r="Q57" s="88">
        <f t="shared" si="6"/>
        <v>411.52320000000003</v>
      </c>
      <c r="R57" s="643">
        <f>R56</f>
        <v>1732</v>
      </c>
      <c r="S57" s="101">
        <f t="shared" si="7"/>
        <v>190.52</v>
      </c>
      <c r="U57" s="77"/>
    </row>
    <row r="58" spans="1:21" ht="22.5" customHeight="1" thickBot="1" x14ac:dyDescent="0.3">
      <c r="A58" s="708"/>
      <c r="B58" s="203">
        <v>1200</v>
      </c>
      <c r="C58" s="204">
        <v>600</v>
      </c>
      <c r="D58" s="209">
        <v>120</v>
      </c>
      <c r="E58" s="254" t="s">
        <v>110</v>
      </c>
      <c r="F58" s="238" t="s">
        <v>239</v>
      </c>
      <c r="G58" s="205"/>
      <c r="H58" s="124">
        <v>0</v>
      </c>
      <c r="I58" s="170">
        <v>746.49600000000009</v>
      </c>
      <c r="J58" s="125">
        <v>4</v>
      </c>
      <c r="K58" s="166">
        <v>2.8800000000000003</v>
      </c>
      <c r="L58" s="126">
        <v>0.34560000000000002</v>
      </c>
      <c r="M58" s="127">
        <v>20</v>
      </c>
      <c r="N58" s="173">
        <v>6.9120000000000008</v>
      </c>
      <c r="O58" s="230">
        <v>76.032000000000011</v>
      </c>
      <c r="P58" s="126"/>
      <c r="Q58" s="88">
        <f t="shared" si="6"/>
        <v>598.57920000000001</v>
      </c>
      <c r="R58" s="643">
        <f>R56</f>
        <v>1732</v>
      </c>
      <c r="S58" s="101">
        <f t="shared" si="7"/>
        <v>207.84</v>
      </c>
      <c r="U58" s="77"/>
    </row>
    <row r="59" spans="1:21" ht="22.5" customHeight="1" thickBot="1" x14ac:dyDescent="0.3">
      <c r="A59" s="708"/>
      <c r="B59" s="203">
        <v>1200</v>
      </c>
      <c r="C59" s="204">
        <v>600</v>
      </c>
      <c r="D59" s="209">
        <v>130</v>
      </c>
      <c r="E59" s="254" t="s">
        <v>697</v>
      </c>
      <c r="F59" s="238" t="s">
        <v>46</v>
      </c>
      <c r="G59" s="205">
        <v>222.22222222222223</v>
      </c>
      <c r="H59" s="124">
        <v>37.096391263057932</v>
      </c>
      <c r="I59" s="170"/>
      <c r="J59" s="125">
        <v>3</v>
      </c>
      <c r="K59" s="166">
        <v>2.16</v>
      </c>
      <c r="L59" s="126">
        <v>0.28079999999999999</v>
      </c>
      <c r="M59" s="127">
        <v>24</v>
      </c>
      <c r="N59" s="173">
        <v>6.7392000000000003</v>
      </c>
      <c r="O59" s="230">
        <v>74.131200000000007</v>
      </c>
      <c r="P59" s="126"/>
      <c r="Q59" s="88">
        <f t="shared" si="6"/>
        <v>486.34559999999999</v>
      </c>
      <c r="R59" s="643">
        <f>R57</f>
        <v>1732</v>
      </c>
      <c r="S59" s="101">
        <f t="shared" si="7"/>
        <v>225.16</v>
      </c>
      <c r="U59" s="77"/>
    </row>
    <row r="60" spans="1:21" ht="22.5" customHeight="1" thickBot="1" x14ac:dyDescent="0.3">
      <c r="A60" s="708"/>
      <c r="B60" s="203">
        <v>1200</v>
      </c>
      <c r="C60" s="204">
        <v>600</v>
      </c>
      <c r="D60" s="209">
        <v>140</v>
      </c>
      <c r="E60" s="254" t="s">
        <v>111</v>
      </c>
      <c r="F60" s="238" t="s">
        <v>46</v>
      </c>
      <c r="G60" s="205">
        <v>222.22222222222223</v>
      </c>
      <c r="H60" s="124">
        <v>36.743092298647852</v>
      </c>
      <c r="I60" s="170">
        <v>653.18399999999997</v>
      </c>
      <c r="J60" s="125">
        <v>3</v>
      </c>
      <c r="K60" s="166">
        <v>2.16</v>
      </c>
      <c r="L60" s="126">
        <v>0.3024</v>
      </c>
      <c r="M60" s="127">
        <v>20</v>
      </c>
      <c r="N60" s="173">
        <v>6.048</v>
      </c>
      <c r="O60" s="230">
        <v>66.528000000000006</v>
      </c>
      <c r="P60" s="126"/>
      <c r="Q60" s="88">
        <f t="shared" si="6"/>
        <v>523.7568</v>
      </c>
      <c r="R60" s="643">
        <f>R58</f>
        <v>1732</v>
      </c>
      <c r="S60" s="101">
        <f t="shared" si="7"/>
        <v>242.48</v>
      </c>
      <c r="U60" s="77"/>
    </row>
    <row r="61" spans="1:21" ht="22.5" customHeight="1" thickBot="1" x14ac:dyDescent="0.3">
      <c r="A61" s="708"/>
      <c r="B61" s="203">
        <v>1200</v>
      </c>
      <c r="C61" s="204">
        <v>600</v>
      </c>
      <c r="D61" s="209">
        <v>150</v>
      </c>
      <c r="E61" s="254" t="s">
        <v>112</v>
      </c>
      <c r="F61" s="238" t="s">
        <v>46</v>
      </c>
      <c r="G61" s="205">
        <v>222.22222222222223</v>
      </c>
      <c r="H61" s="124">
        <v>32.150205761316876</v>
      </c>
      <c r="I61" s="170">
        <v>746.49599999999998</v>
      </c>
      <c r="J61" s="125">
        <v>4</v>
      </c>
      <c r="K61" s="166">
        <v>2.8800000000000003</v>
      </c>
      <c r="L61" s="126">
        <v>0.432</v>
      </c>
      <c r="M61" s="127">
        <v>16</v>
      </c>
      <c r="N61" s="173">
        <v>6.9119999999999999</v>
      </c>
      <c r="O61" s="231">
        <v>76.031999999999996</v>
      </c>
      <c r="P61" s="126"/>
      <c r="Q61" s="88">
        <f t="shared" si="6"/>
        <v>748.22400000000005</v>
      </c>
      <c r="R61" s="643">
        <f>R59</f>
        <v>1732</v>
      </c>
      <c r="S61" s="101">
        <f t="shared" si="7"/>
        <v>259.8</v>
      </c>
      <c r="U61" s="77"/>
    </row>
    <row r="62" spans="1:21" ht="22.5" customHeight="1" thickBot="1" x14ac:dyDescent="0.3">
      <c r="A62" s="708"/>
      <c r="B62" s="203">
        <v>1200</v>
      </c>
      <c r="C62" s="204">
        <v>600</v>
      </c>
      <c r="D62" s="209">
        <v>160</v>
      </c>
      <c r="E62" s="254" t="s">
        <v>113</v>
      </c>
      <c r="F62" s="238" t="s">
        <v>46</v>
      </c>
      <c r="G62" s="205">
        <v>222.22222222222223</v>
      </c>
      <c r="H62" s="124">
        <v>32.150205761316869</v>
      </c>
      <c r="I62" s="170">
        <v>746.49600000000009</v>
      </c>
      <c r="J62" s="125">
        <v>3</v>
      </c>
      <c r="K62" s="166">
        <v>2.16</v>
      </c>
      <c r="L62" s="126">
        <v>0.34560000000000002</v>
      </c>
      <c r="M62" s="127">
        <v>20</v>
      </c>
      <c r="N62" s="173">
        <v>6.9120000000000008</v>
      </c>
      <c r="O62" s="230">
        <v>76.032000000000011</v>
      </c>
      <c r="P62" s="126"/>
      <c r="Q62" s="88">
        <f t="shared" si="6"/>
        <v>598.57920000000001</v>
      </c>
      <c r="R62" s="643">
        <f t="shared" si="13"/>
        <v>1732</v>
      </c>
      <c r="S62" s="101">
        <f t="shared" si="7"/>
        <v>277.12</v>
      </c>
      <c r="U62" s="77"/>
    </row>
    <row r="63" spans="1:21" ht="22.5" customHeight="1" thickBot="1" x14ac:dyDescent="0.3">
      <c r="A63" s="708"/>
      <c r="B63" s="203">
        <v>1200</v>
      </c>
      <c r="C63" s="204">
        <v>600</v>
      </c>
      <c r="D63" s="209">
        <v>170</v>
      </c>
      <c r="E63" s="254" t="s">
        <v>114</v>
      </c>
      <c r="F63" s="238" t="s">
        <v>46</v>
      </c>
      <c r="G63" s="205">
        <v>222.22222222222223</v>
      </c>
      <c r="H63" s="124">
        <v>37.823771483902199</v>
      </c>
      <c r="I63" s="170">
        <v>634.52160000000003</v>
      </c>
      <c r="J63" s="125">
        <v>3</v>
      </c>
      <c r="K63" s="166">
        <v>2.16</v>
      </c>
      <c r="L63" s="126">
        <v>0.36720000000000003</v>
      </c>
      <c r="M63" s="127">
        <v>16</v>
      </c>
      <c r="N63" s="173">
        <v>5.8752000000000004</v>
      </c>
      <c r="O63" s="230">
        <v>64.627200000000002</v>
      </c>
      <c r="P63" s="126"/>
      <c r="Q63" s="88">
        <f t="shared" si="6"/>
        <v>635.99040000000002</v>
      </c>
      <c r="R63" s="643">
        <f t="shared" si="13"/>
        <v>1732</v>
      </c>
      <c r="S63" s="101">
        <f t="shared" si="7"/>
        <v>294.44</v>
      </c>
      <c r="U63" s="77"/>
    </row>
    <row r="64" spans="1:21" ht="22.5" customHeight="1" thickBot="1" x14ac:dyDescent="0.3">
      <c r="A64" s="708"/>
      <c r="B64" s="203">
        <v>1200</v>
      </c>
      <c r="C64" s="204">
        <v>600</v>
      </c>
      <c r="D64" s="209">
        <v>180</v>
      </c>
      <c r="E64" s="254" t="s">
        <v>115</v>
      </c>
      <c r="F64" s="238" t="s">
        <v>46</v>
      </c>
      <c r="G64" s="205">
        <v>222.22222222222223</v>
      </c>
      <c r="H64" s="124">
        <v>35.722450845907638</v>
      </c>
      <c r="I64" s="170">
        <v>671.8463999999999</v>
      </c>
      <c r="J64" s="125">
        <v>3</v>
      </c>
      <c r="K64" s="166">
        <v>2.16</v>
      </c>
      <c r="L64" s="126">
        <v>0.38879999999999998</v>
      </c>
      <c r="M64" s="127">
        <v>16</v>
      </c>
      <c r="N64" s="173">
        <v>6.2207999999999997</v>
      </c>
      <c r="O64" s="231">
        <v>68.428799999999995</v>
      </c>
      <c r="P64" s="126"/>
      <c r="Q64" s="88">
        <f t="shared" si="6"/>
        <v>673.40159999999992</v>
      </c>
      <c r="R64" s="643">
        <f t="shared" si="13"/>
        <v>1732</v>
      </c>
      <c r="S64" s="101">
        <f t="shared" si="7"/>
        <v>311.76</v>
      </c>
      <c r="U64" s="77"/>
    </row>
    <row r="65" spans="1:23" ht="22.5" customHeight="1" thickBot="1" x14ac:dyDescent="0.3">
      <c r="A65" s="708"/>
      <c r="B65" s="203">
        <v>1200</v>
      </c>
      <c r="C65" s="204">
        <v>600</v>
      </c>
      <c r="D65" s="209">
        <v>190</v>
      </c>
      <c r="E65" s="254" t="s">
        <v>116</v>
      </c>
      <c r="F65" s="238" t="s">
        <v>46</v>
      </c>
      <c r="G65" s="205">
        <v>222.22222222222223</v>
      </c>
      <c r="H65" s="124">
        <v>33.842321854017761</v>
      </c>
      <c r="I65" s="170">
        <v>709.1712</v>
      </c>
      <c r="J65" s="125">
        <v>3</v>
      </c>
      <c r="K65" s="166">
        <v>2.16</v>
      </c>
      <c r="L65" s="126">
        <v>0.41039999999999999</v>
      </c>
      <c r="M65" s="127">
        <v>16</v>
      </c>
      <c r="N65" s="173">
        <v>6.5663999999999998</v>
      </c>
      <c r="O65" s="231">
        <v>72.230400000000003</v>
      </c>
      <c r="P65" s="126"/>
      <c r="Q65" s="88">
        <f t="shared" si="6"/>
        <v>710.81279999999992</v>
      </c>
      <c r="R65" s="643">
        <f t="shared" si="13"/>
        <v>1732</v>
      </c>
      <c r="S65" s="101">
        <f t="shared" si="7"/>
        <v>329.08</v>
      </c>
      <c r="U65" s="77"/>
    </row>
    <row r="66" spans="1:23" ht="22.5" customHeight="1" thickBot="1" x14ac:dyDescent="0.3">
      <c r="A66" s="890"/>
      <c r="B66" s="240">
        <v>1200</v>
      </c>
      <c r="C66" s="241">
        <v>600</v>
      </c>
      <c r="D66" s="242">
        <v>200</v>
      </c>
      <c r="E66" s="257" t="s">
        <v>117</v>
      </c>
      <c r="F66" s="238" t="s">
        <v>46</v>
      </c>
      <c r="G66" s="239">
        <v>222.22222222222223</v>
      </c>
      <c r="H66" s="124">
        <v>32.150205761316876</v>
      </c>
      <c r="I66" s="170">
        <v>746.49599999999998</v>
      </c>
      <c r="J66" s="128">
        <v>3</v>
      </c>
      <c r="K66" s="167">
        <v>2.16</v>
      </c>
      <c r="L66" s="129">
        <v>0.432</v>
      </c>
      <c r="M66" s="130">
        <v>16</v>
      </c>
      <c r="N66" s="174">
        <v>6.9119999999999999</v>
      </c>
      <c r="O66" s="260">
        <v>76.031999999999996</v>
      </c>
      <c r="P66" s="129"/>
      <c r="Q66" s="89">
        <f t="shared" si="6"/>
        <v>748.22400000000005</v>
      </c>
      <c r="R66" s="644">
        <f t="shared" si="13"/>
        <v>1732</v>
      </c>
      <c r="S66" s="102">
        <f t="shared" si="7"/>
        <v>346.4</v>
      </c>
      <c r="U66" s="77"/>
    </row>
    <row r="67" spans="1:23" ht="22.5" customHeight="1" thickBot="1" x14ac:dyDescent="0.3">
      <c r="A67" s="889" t="s">
        <v>446</v>
      </c>
      <c r="B67" s="252">
        <v>1200</v>
      </c>
      <c r="C67" s="250">
        <v>600</v>
      </c>
      <c r="D67" s="251">
        <v>50</v>
      </c>
      <c r="E67" s="891" t="s">
        <v>447</v>
      </c>
      <c r="F67" s="238" t="s">
        <v>46</v>
      </c>
      <c r="G67" s="205">
        <v>222.22222222222223</v>
      </c>
      <c r="H67" s="124">
        <v>34.446649029982368</v>
      </c>
      <c r="I67" s="170"/>
      <c r="J67" s="131">
        <v>12</v>
      </c>
      <c r="K67" s="168">
        <v>8.64</v>
      </c>
      <c r="L67" s="132">
        <v>0.432</v>
      </c>
      <c r="M67" s="133">
        <v>16</v>
      </c>
      <c r="N67" s="172">
        <v>6.9119999999999999</v>
      </c>
      <c r="O67" s="220">
        <v>76.031999999999996</v>
      </c>
      <c r="P67" s="132">
        <v>103.68</v>
      </c>
      <c r="Q67" s="827">
        <f>L67*R67</f>
        <v>899.85599999999999</v>
      </c>
      <c r="R67" s="892">
        <v>2083</v>
      </c>
      <c r="S67" s="828">
        <f>R67*D67/1000</f>
        <v>104.15</v>
      </c>
      <c r="U67" s="77"/>
    </row>
    <row r="68" spans="1:23" ht="22.5" customHeight="1" thickBot="1" x14ac:dyDescent="0.3">
      <c r="A68" s="708"/>
      <c r="B68" s="203">
        <v>1200</v>
      </c>
      <c r="C68" s="204">
        <v>600</v>
      </c>
      <c r="D68" s="209">
        <v>50</v>
      </c>
      <c r="E68" s="254" t="s">
        <v>611</v>
      </c>
      <c r="F68" s="238" t="s">
        <v>46</v>
      </c>
      <c r="G68" s="205">
        <v>222.22222222222223</v>
      </c>
      <c r="H68" s="124">
        <v>32.150205761316869</v>
      </c>
      <c r="I68" s="170"/>
      <c r="J68" s="125">
        <v>6</v>
      </c>
      <c r="K68" s="166">
        <v>4.32</v>
      </c>
      <c r="L68" s="126">
        <v>0.216</v>
      </c>
      <c r="M68" s="127">
        <v>32</v>
      </c>
      <c r="N68" s="173">
        <v>6.9119999999999999</v>
      </c>
      <c r="O68" s="231">
        <v>76.031999999999996</v>
      </c>
      <c r="P68" s="126">
        <v>96.768000000000001</v>
      </c>
      <c r="Q68" s="88" t="e">
        <f>L68*R68</f>
        <v>#VALUE!</v>
      </c>
      <c r="R68" s="643" t="s">
        <v>528</v>
      </c>
      <c r="S68" s="101" t="e">
        <f>R68*D68/1000</f>
        <v>#VALUE!</v>
      </c>
      <c r="U68" s="77"/>
    </row>
    <row r="69" spans="1:23" ht="22.5" customHeight="1" thickBot="1" x14ac:dyDescent="0.3">
      <c r="A69" s="701"/>
      <c r="B69" s="203">
        <v>1200</v>
      </c>
      <c r="C69" s="204">
        <v>600</v>
      </c>
      <c r="D69" s="209">
        <v>50</v>
      </c>
      <c r="E69" s="254" t="s">
        <v>706</v>
      </c>
      <c r="F69" s="238" t="s">
        <v>239</v>
      </c>
      <c r="G69" s="205">
        <v>222.22222222222223</v>
      </c>
      <c r="H69" s="124">
        <v>32.150205761316869</v>
      </c>
      <c r="I69" s="170"/>
      <c r="J69" s="125">
        <v>8</v>
      </c>
      <c r="K69" s="166">
        <f>B69*C69*J69/1000000</f>
        <v>5.76</v>
      </c>
      <c r="L69" s="126">
        <f>D69*K69/1000</f>
        <v>0.28799999999999998</v>
      </c>
      <c r="M69" s="127">
        <v>24</v>
      </c>
      <c r="N69" s="173">
        <f>L69*M69</f>
        <v>6.911999999999999</v>
      </c>
      <c r="O69" s="231">
        <f>N69*11</f>
        <v>76.031999999999982</v>
      </c>
      <c r="P69" s="126">
        <v>96.768000000000001</v>
      </c>
      <c r="Q69" s="827" t="e">
        <f>L69*R69</f>
        <v>#VALUE!</v>
      </c>
      <c r="R69" s="259" t="s">
        <v>528</v>
      </c>
      <c r="S69" s="828" t="e">
        <f>R69*D69/1000</f>
        <v>#VALUE!</v>
      </c>
      <c r="U69" s="77"/>
    </row>
    <row r="70" spans="1:23" ht="22.5" customHeight="1" thickBot="1" x14ac:dyDescent="0.3">
      <c r="A70" s="890"/>
      <c r="B70" s="240">
        <v>1200</v>
      </c>
      <c r="C70" s="241">
        <v>600</v>
      </c>
      <c r="D70" s="242">
        <v>100</v>
      </c>
      <c r="E70" s="257" t="s">
        <v>448</v>
      </c>
      <c r="F70" s="238" t="s">
        <v>46</v>
      </c>
      <c r="G70" s="239">
        <v>222.22222222222223</v>
      </c>
      <c r="H70" s="124">
        <v>32.150205761316869</v>
      </c>
      <c r="I70" s="170"/>
      <c r="J70" s="128">
        <v>6</v>
      </c>
      <c r="K70" s="167">
        <v>8.64</v>
      </c>
      <c r="L70" s="129">
        <v>0.432</v>
      </c>
      <c r="M70" s="130">
        <v>16</v>
      </c>
      <c r="N70" s="174">
        <v>6.9119999999999999</v>
      </c>
      <c r="O70" s="260">
        <v>76.031999999999996</v>
      </c>
      <c r="P70" s="129">
        <v>96.768000000000001</v>
      </c>
      <c r="Q70" s="89">
        <f>L70*R70</f>
        <v>899.85599999999999</v>
      </c>
      <c r="R70" s="644">
        <v>2083</v>
      </c>
      <c r="S70" s="102">
        <f>R70*D70/1000</f>
        <v>208.3</v>
      </c>
      <c r="U70" s="77"/>
    </row>
    <row r="71" spans="1:23" ht="20.100000000000001" customHeight="1" x14ac:dyDescent="0.25">
      <c r="A71" s="18"/>
      <c r="B71" s="134"/>
      <c r="C71" s="134"/>
      <c r="D71" s="134"/>
      <c r="E71" s="134"/>
      <c r="F71" s="134"/>
      <c r="G71" s="134"/>
      <c r="H71" s="134"/>
      <c r="I71" s="625"/>
      <c r="J71" s="135"/>
      <c r="K71" s="134"/>
      <c r="L71" s="136"/>
      <c r="M71" s="135"/>
      <c r="N71" s="137"/>
      <c r="O71" s="134"/>
      <c r="P71" s="261"/>
      <c r="Q71" s="448"/>
      <c r="R71" s="448"/>
      <c r="S71" s="448"/>
    </row>
    <row r="72" spans="1:23" ht="18.75" customHeight="1" x14ac:dyDescent="0.25">
      <c r="A72" s="1" t="s">
        <v>7</v>
      </c>
      <c r="B72" s="91"/>
      <c r="C72" s="91"/>
      <c r="D72" s="91"/>
      <c r="E72" s="91"/>
      <c r="F72" s="91"/>
      <c r="G72" s="91"/>
      <c r="H72" s="91"/>
      <c r="I72" s="91"/>
      <c r="J72" s="92"/>
      <c r="K72" s="91"/>
      <c r="L72" s="94"/>
      <c r="M72" s="92"/>
      <c r="N72" s="93"/>
      <c r="O72" s="1243" t="s">
        <v>21</v>
      </c>
      <c r="P72" s="1243"/>
      <c r="Q72" s="1243"/>
      <c r="R72" s="1243"/>
      <c r="S72" s="1243"/>
    </row>
    <row r="73" spans="1:23" s="32" customFormat="1" ht="20.100000000000001" customHeight="1" x14ac:dyDescent="0.25">
      <c r="A73" s="471" t="s">
        <v>342</v>
      </c>
      <c r="J73" s="33"/>
      <c r="L73" s="34"/>
      <c r="M73" s="33"/>
      <c r="N73" s="59"/>
      <c r="O73" s="1244" t="s">
        <v>40</v>
      </c>
      <c r="P73" s="1244"/>
      <c r="Q73" s="1244"/>
      <c r="R73" s="1244"/>
      <c r="S73" s="1244"/>
      <c r="W73" s="84"/>
    </row>
    <row r="74" spans="1:23" ht="20.100000000000001" customHeight="1" x14ac:dyDescent="0.25">
      <c r="A74" s="26" t="s">
        <v>23</v>
      </c>
      <c r="O74" s="1244" t="s">
        <v>39</v>
      </c>
      <c r="P74" s="1244"/>
      <c r="Q74" s="1244"/>
      <c r="R74" s="1244"/>
      <c r="S74" s="1244"/>
    </row>
    <row r="75" spans="1:23" ht="20.100000000000001" customHeight="1" x14ac:dyDescent="0.25">
      <c r="A75" s="26" t="s">
        <v>24</v>
      </c>
      <c r="O75" s="1245" t="s">
        <v>37</v>
      </c>
      <c r="P75" s="1245"/>
      <c r="Q75" s="1245"/>
      <c r="R75" s="1245"/>
      <c r="S75" s="1245"/>
    </row>
    <row r="76" spans="1:23" ht="20.100000000000001" customHeight="1" x14ac:dyDescent="0.25">
      <c r="A76" s="26" t="s">
        <v>52</v>
      </c>
      <c r="Q76" s="1245" t="s">
        <v>38</v>
      </c>
      <c r="R76" s="1245"/>
      <c r="S76" s="1245"/>
      <c r="T76" s="74"/>
    </row>
    <row r="77" spans="1:23" ht="20.100000000000001" customHeight="1" x14ac:dyDescent="0.25">
      <c r="A77" s="30" t="s">
        <v>54</v>
      </c>
      <c r="G77" s="4"/>
      <c r="I77" s="5"/>
      <c r="K77" s="56"/>
    </row>
    <row r="78" spans="1:23" ht="20.100000000000001" customHeight="1" x14ac:dyDescent="0.25">
      <c r="A78" s="30" t="s">
        <v>240</v>
      </c>
      <c r="G78" s="4"/>
      <c r="I78" s="5"/>
      <c r="K78" s="56"/>
    </row>
    <row r="79" spans="1:23" ht="20.100000000000001" customHeight="1" x14ac:dyDescent="0.25">
      <c r="A79" s="30" t="s">
        <v>241</v>
      </c>
      <c r="G79" s="4"/>
      <c r="I79" s="5"/>
      <c r="K79" s="56"/>
    </row>
    <row r="80" spans="1:23" ht="20.100000000000001" customHeight="1" x14ac:dyDescent="0.25">
      <c r="A80" s="30"/>
      <c r="G80" s="4"/>
      <c r="I80" s="5"/>
      <c r="K80" s="56"/>
    </row>
    <row r="81" spans="1:19" ht="20.100000000000001" customHeight="1" x14ac:dyDescent="0.25">
      <c r="A81" s="31"/>
    </row>
    <row r="82" spans="1:19" ht="20.100000000000001" customHeight="1" x14ac:dyDescent="0.25"/>
    <row r="83" spans="1:19" ht="19.5" customHeight="1" x14ac:dyDescent="0.25">
      <c r="A83" s="2"/>
    </row>
    <row r="84" spans="1:19" ht="20.100000000000001" customHeight="1" x14ac:dyDescent="0.25">
      <c r="A84" s="2"/>
    </row>
    <row r="85" spans="1:19" ht="20.100000000000001" customHeight="1" x14ac:dyDescent="0.25">
      <c r="A85" s="2"/>
      <c r="C85" s="19"/>
      <c r="D85" s="20"/>
      <c r="E85" s="20"/>
      <c r="F85" s="20"/>
      <c r="G85" s="20"/>
      <c r="H85" s="20"/>
      <c r="I85" s="20"/>
      <c r="J85" s="21"/>
      <c r="K85" s="20"/>
      <c r="L85" s="22"/>
      <c r="M85" s="69"/>
      <c r="N85" s="60"/>
      <c r="O85" s="20"/>
      <c r="P85" s="22"/>
      <c r="Q85" s="22"/>
      <c r="R85" s="22"/>
      <c r="S85" s="22"/>
    </row>
    <row r="86" spans="1:19" ht="20.100000000000001" customHeight="1" x14ac:dyDescent="0.25">
      <c r="C86" s="23"/>
      <c r="D86" s="20"/>
      <c r="E86" s="20"/>
      <c r="F86" s="20"/>
      <c r="G86" s="20"/>
      <c r="H86" s="20"/>
      <c r="I86" s="20"/>
      <c r="J86" s="21"/>
      <c r="K86" s="20"/>
      <c r="L86" s="24"/>
      <c r="M86" s="70"/>
      <c r="N86" s="60"/>
      <c r="O86" s="20"/>
      <c r="P86" s="24"/>
      <c r="Q86" s="24"/>
      <c r="R86" s="24"/>
      <c r="S86" s="24"/>
    </row>
    <row r="87" spans="1:19" ht="20.100000000000001" customHeight="1" x14ac:dyDescent="0.25">
      <c r="C87" s="23"/>
      <c r="D87" s="20"/>
      <c r="E87" s="20"/>
      <c r="F87" s="20"/>
      <c r="G87" s="20"/>
      <c r="H87" s="20"/>
      <c r="I87" s="20"/>
      <c r="J87" s="21"/>
      <c r="K87" s="20"/>
      <c r="L87" s="24"/>
      <c r="M87" s="70"/>
      <c r="N87" s="60"/>
      <c r="O87" s="20"/>
      <c r="P87" s="24"/>
      <c r="Q87" s="24"/>
      <c r="R87" s="24"/>
      <c r="S87" s="24"/>
    </row>
    <row r="89" spans="1:19" x14ac:dyDescent="0.25">
      <c r="B89" s="25"/>
    </row>
  </sheetData>
  <mergeCells count="21">
    <mergeCell ref="Q76:S76"/>
    <mergeCell ref="M6:N6"/>
    <mergeCell ref="O6:P6"/>
    <mergeCell ref="Q6:S6"/>
    <mergeCell ref="A13:A15"/>
    <mergeCell ref="A16:A31"/>
    <mergeCell ref="A33:A47"/>
    <mergeCell ref="O72:S72"/>
    <mergeCell ref="O73:S73"/>
    <mergeCell ref="O74:S74"/>
    <mergeCell ref="O75:S75"/>
    <mergeCell ref="A4:S4"/>
    <mergeCell ref="A6:A7"/>
    <mergeCell ref="B6:B7"/>
    <mergeCell ref="C6:C7"/>
    <mergeCell ref="D6:D7"/>
    <mergeCell ref="E6:E7"/>
    <mergeCell ref="F6:F7"/>
    <mergeCell ref="G6:G7"/>
    <mergeCell ref="I6:I7"/>
    <mergeCell ref="J6:L6"/>
  </mergeCells>
  <hyperlinks>
    <hyperlink ref="O75" r:id="rId1"/>
    <hyperlink ref="Q76" r:id="rId2"/>
  </hyperlinks>
  <printOptions horizontalCentered="1"/>
  <pageMargins left="0.19685039370078741" right="0.19685039370078741" top="0.39370078740157483" bottom="0" header="0" footer="0"/>
  <pageSetup paperSize="9" scale="43" orientation="portrait" verticalDpi="1" r:id="rId3"/>
  <headerFooter alignWithMargins="0"/>
  <drawing r:id="rId4"/>
  <legacyDrawing r:id="rId5"/>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2">
    <tabColor rgb="FFFF0000"/>
  </sheetPr>
  <dimension ref="A1:Y113"/>
  <sheetViews>
    <sheetView showGridLines="0" view="pageBreakPreview" zoomScale="75" zoomScaleNormal="100" zoomScaleSheetLayoutView="75" workbookViewId="0">
      <pane xSplit="1" ySplit="7" topLeftCell="B8" activePane="bottomRight" state="frozen"/>
      <selection sqref="A1:IV65536"/>
      <selection pane="topRight" sqref="A1:IV65536"/>
      <selection pane="bottomLeft" sqref="A1:IV65536"/>
      <selection pane="bottomRight" activeCell="A72" sqref="A72"/>
    </sheetView>
  </sheetViews>
  <sheetFormatPr defaultColWidth="11.42578125" defaultRowHeight="18" x14ac:dyDescent="0.25"/>
  <cols>
    <col min="1" max="1" width="38.7109375" style="3" customWidth="1"/>
    <col min="2" max="4" width="9.7109375" style="2" customWidth="1"/>
    <col min="5" max="5" width="6.140625" style="71" hidden="1" customWidth="1"/>
    <col min="6" max="7" width="11.140625" style="71" hidden="1" customWidth="1"/>
    <col min="8" max="8" width="18.140625" style="71" customWidth="1"/>
    <col min="9" max="9" width="11.140625" style="71" customWidth="1"/>
    <col min="10" max="10" width="9.28515625" style="4" customWidth="1"/>
    <col min="11" max="11" width="11.5703125" style="2" customWidth="1"/>
    <col min="12" max="12" width="11.5703125" style="5" customWidth="1"/>
    <col min="13" max="13" width="11.5703125" style="4" customWidth="1"/>
    <col min="14" max="14" width="13.85546875" style="56" customWidth="1"/>
    <col min="15" max="15" width="11.5703125" style="2" customWidth="1"/>
    <col min="16" max="16" width="11.5703125" style="5" customWidth="1"/>
    <col min="17" max="17" width="15.140625" style="2" customWidth="1"/>
    <col min="18" max="18" width="11.85546875" style="2" customWidth="1"/>
    <col min="19" max="19" width="14" style="2" customWidth="1"/>
    <col min="20" max="20" width="11.42578125" style="2"/>
    <col min="21" max="21" width="9.140625" customWidth="1"/>
    <col min="22" max="22" width="10.28515625" customWidth="1"/>
    <col min="23" max="23" width="9.42578125" style="85" customWidth="1"/>
    <col min="24" max="25" width="9.140625" customWidth="1"/>
    <col min="26" max="16384" width="11.42578125" style="2"/>
  </cols>
  <sheetData>
    <row r="1" spans="1:25" ht="26.25" x14ac:dyDescent="0.4">
      <c r="A1" s="75" t="s">
        <v>19</v>
      </c>
    </row>
    <row r="2" spans="1:25" s="27" customFormat="1" ht="26.25" x14ac:dyDescent="0.4">
      <c r="A2" s="75" t="s">
        <v>20</v>
      </c>
      <c r="E2" s="72"/>
      <c r="F2" s="72"/>
      <c r="G2" s="72"/>
      <c r="H2" s="72"/>
      <c r="I2" s="72"/>
      <c r="J2" s="28"/>
      <c r="L2" s="29"/>
      <c r="M2" s="28"/>
      <c r="N2" s="57"/>
      <c r="P2" s="29"/>
      <c r="W2" s="83"/>
    </row>
    <row r="3" spans="1:25" s="27" customFormat="1" ht="60" customHeight="1" x14ac:dyDescent="0.4">
      <c r="A3" s="2" t="s">
        <v>53</v>
      </c>
      <c r="E3" s="72"/>
      <c r="F3" s="72"/>
      <c r="G3" s="72"/>
      <c r="H3" s="72"/>
      <c r="I3" s="72"/>
      <c r="J3" s="28"/>
      <c r="L3" s="29"/>
      <c r="M3" s="28"/>
      <c r="N3" s="57"/>
      <c r="P3" s="29"/>
      <c r="W3" s="83"/>
    </row>
    <row r="4" spans="1:25" x14ac:dyDescent="0.25">
      <c r="A4" s="1248" t="str">
        <f>'ЛАЙТ Рязань'!A4</f>
        <v>03.03.2011г.</v>
      </c>
      <c r="B4" s="1249"/>
      <c r="C4" s="1249"/>
      <c r="D4" s="1249"/>
      <c r="E4" s="1249"/>
      <c r="F4" s="1249"/>
      <c r="G4" s="1249"/>
      <c r="H4" s="1249"/>
      <c r="I4" s="1249"/>
      <c r="J4" s="1249"/>
      <c r="K4" s="1249"/>
      <c r="L4" s="1249"/>
      <c r="M4" s="1249"/>
      <c r="N4" s="1249"/>
      <c r="O4" s="1249"/>
      <c r="P4" s="1249"/>
      <c r="Q4" s="1249"/>
      <c r="R4" s="1249"/>
      <c r="S4" s="1249"/>
      <c r="T4" s="7"/>
    </row>
    <row r="5" spans="1:25" ht="18.75" thickBot="1" x14ac:dyDescent="0.3">
      <c r="A5" s="6"/>
      <c r="B5" s="7"/>
      <c r="C5" s="7"/>
      <c r="D5" s="7"/>
      <c r="E5" s="73"/>
      <c r="F5" s="73"/>
      <c r="G5" s="73"/>
      <c r="H5" s="73"/>
      <c r="I5" s="73"/>
      <c r="J5" s="7"/>
      <c r="K5" s="7"/>
      <c r="L5" s="7"/>
      <c r="M5" s="67"/>
      <c r="N5" s="58"/>
      <c r="O5" s="7"/>
      <c r="P5" s="7"/>
      <c r="Q5" s="7"/>
      <c r="R5" s="7"/>
      <c r="S5" s="7"/>
      <c r="T5" s="7"/>
    </row>
    <row r="6" spans="1:25" ht="72.75" customHeight="1" thickBot="1" x14ac:dyDescent="0.3">
      <c r="A6" s="1250" t="s">
        <v>0</v>
      </c>
      <c r="B6" s="1252" t="s">
        <v>1</v>
      </c>
      <c r="C6" s="1254" t="s">
        <v>2</v>
      </c>
      <c r="D6" s="1256" t="s">
        <v>3</v>
      </c>
      <c r="E6" s="1260" t="s">
        <v>36</v>
      </c>
      <c r="F6" s="1260" t="s">
        <v>56</v>
      </c>
      <c r="G6" s="109"/>
      <c r="H6" s="1260" t="s">
        <v>133</v>
      </c>
      <c r="I6" s="1260" t="s">
        <v>56</v>
      </c>
      <c r="J6" s="1276" t="s">
        <v>49</v>
      </c>
      <c r="K6" s="1277"/>
      <c r="L6" s="1278"/>
      <c r="M6" s="1273" t="s">
        <v>48</v>
      </c>
      <c r="N6" s="1274"/>
      <c r="O6" s="1265" t="s">
        <v>44</v>
      </c>
      <c r="P6" s="1266"/>
      <c r="Q6" s="1264" t="s">
        <v>340</v>
      </c>
      <c r="R6" s="1265"/>
      <c r="S6" s="1266"/>
    </row>
    <row r="7" spans="1:25" ht="57.75" customHeight="1" thickBot="1" x14ac:dyDescent="0.3">
      <c r="A7" s="1251"/>
      <c r="B7" s="1253"/>
      <c r="C7" s="1255"/>
      <c r="D7" s="1257"/>
      <c r="E7" s="1263"/>
      <c r="F7" s="1262"/>
      <c r="G7" s="110"/>
      <c r="H7" s="1263"/>
      <c r="I7" s="1262"/>
      <c r="J7" s="472" t="s">
        <v>5</v>
      </c>
      <c r="K7" s="473" t="s">
        <v>17</v>
      </c>
      <c r="L7" s="474" t="s">
        <v>18</v>
      </c>
      <c r="M7" s="475" t="s">
        <v>47</v>
      </c>
      <c r="N7" s="476" t="s">
        <v>18</v>
      </c>
      <c r="O7" s="477" t="s">
        <v>43</v>
      </c>
      <c r="P7" s="478" t="s">
        <v>42</v>
      </c>
      <c r="Q7" s="458" t="s">
        <v>6</v>
      </c>
      <c r="R7" s="54" t="s">
        <v>18</v>
      </c>
      <c r="S7" s="41" t="s">
        <v>22</v>
      </c>
      <c r="T7" s="3"/>
      <c r="U7" s="3"/>
      <c r="V7" s="3"/>
      <c r="W7" s="82"/>
      <c r="X7" s="2"/>
    </row>
    <row r="8" spans="1:25" ht="20.100000000000001" customHeight="1" thickBot="1" x14ac:dyDescent="0.3">
      <c r="A8" s="35" t="s">
        <v>10</v>
      </c>
      <c r="B8" s="252">
        <v>1200</v>
      </c>
      <c r="C8" s="250">
        <v>600</v>
      </c>
      <c r="D8" s="251">
        <v>50</v>
      </c>
      <c r="E8" s="238" t="s">
        <v>46</v>
      </c>
      <c r="F8" s="278"/>
      <c r="G8" s="278"/>
      <c r="H8" s="326" t="s">
        <v>134</v>
      </c>
      <c r="I8" s="176"/>
      <c r="J8" s="311">
        <v>6</v>
      </c>
      <c r="K8" s="323">
        <v>4.32</v>
      </c>
      <c r="L8" s="327">
        <v>0.216</v>
      </c>
      <c r="M8" s="281">
        <v>32</v>
      </c>
      <c r="N8" s="283">
        <v>6.9119999999999999</v>
      </c>
      <c r="O8" s="229">
        <v>76.031999999999996</v>
      </c>
      <c r="P8" s="321"/>
      <c r="Q8" s="88">
        <f>L8*R8</f>
        <v>783.64800000000002</v>
      </c>
      <c r="R8" s="224">
        <v>3628</v>
      </c>
      <c r="S8" s="101">
        <f>R8*D8/1000</f>
        <v>181.4</v>
      </c>
      <c r="U8" s="4"/>
      <c r="V8" s="82"/>
      <c r="W8" s="82"/>
      <c r="X8" s="2"/>
      <c r="Y8" s="2"/>
    </row>
    <row r="9" spans="1:25" ht="20.100000000000001" customHeight="1" thickBot="1" x14ac:dyDescent="0.3">
      <c r="A9" s="1246" t="s">
        <v>27</v>
      </c>
      <c r="B9" s="203">
        <v>1200</v>
      </c>
      <c r="C9" s="204">
        <v>600</v>
      </c>
      <c r="D9" s="209">
        <v>60</v>
      </c>
      <c r="E9" s="238" t="s">
        <v>46</v>
      </c>
      <c r="F9" s="263">
        <v>125</v>
      </c>
      <c r="G9" s="263">
        <v>18.08449074074074</v>
      </c>
      <c r="H9" s="264" t="s">
        <v>135</v>
      </c>
      <c r="I9" s="177">
        <v>393.98400000000004</v>
      </c>
      <c r="J9" s="97">
        <v>5</v>
      </c>
      <c r="K9" s="166">
        <v>2.88</v>
      </c>
      <c r="L9" s="169">
        <v>0.17279999999999998</v>
      </c>
      <c r="M9" s="97">
        <v>32</v>
      </c>
      <c r="N9" s="126">
        <v>6.9119999999999999</v>
      </c>
      <c r="O9" s="231">
        <v>76.031999999999996</v>
      </c>
      <c r="P9" s="266"/>
      <c r="Q9" s="88">
        <f t="shared" ref="Q9:Q66" si="0">L9*R9</f>
        <v>626.91839999999991</v>
      </c>
      <c r="R9" s="224">
        <f>R8</f>
        <v>3628</v>
      </c>
      <c r="S9" s="101">
        <f t="shared" ref="S9:S23" si="1">R9*D9/1000</f>
        <v>217.68</v>
      </c>
      <c r="U9" s="4"/>
      <c r="V9" s="82"/>
      <c r="W9" s="82"/>
      <c r="X9" s="2"/>
      <c r="Y9" s="2"/>
    </row>
    <row r="10" spans="1:25" ht="20.100000000000001" customHeight="1" thickBot="1" x14ac:dyDescent="0.3">
      <c r="A10" s="1246"/>
      <c r="B10" s="203">
        <v>1200</v>
      </c>
      <c r="C10" s="204">
        <v>600</v>
      </c>
      <c r="D10" s="209">
        <v>70</v>
      </c>
      <c r="E10" s="238" t="s">
        <v>46</v>
      </c>
      <c r="F10" s="263">
        <v>125</v>
      </c>
      <c r="G10" s="263">
        <v>19.376240079365079</v>
      </c>
      <c r="H10" s="264" t="s">
        <v>136</v>
      </c>
      <c r="I10" s="177">
        <v>387.072</v>
      </c>
      <c r="J10" s="97">
        <v>4</v>
      </c>
      <c r="K10" s="166">
        <v>2.88</v>
      </c>
      <c r="L10" s="169">
        <v>0.2016</v>
      </c>
      <c r="M10" s="97">
        <v>32</v>
      </c>
      <c r="N10" s="126">
        <v>6.4512</v>
      </c>
      <c r="O10" s="231">
        <v>70.963200000000001</v>
      </c>
      <c r="P10" s="266"/>
      <c r="Q10" s="88">
        <f t="shared" si="0"/>
        <v>731.40480000000002</v>
      </c>
      <c r="R10" s="224">
        <f t="shared" ref="R10:R23" si="2">R9</f>
        <v>3628</v>
      </c>
      <c r="S10" s="101">
        <f t="shared" si="1"/>
        <v>253.96</v>
      </c>
      <c r="U10" s="4"/>
      <c r="V10" s="82"/>
      <c r="W10" s="82"/>
      <c r="X10" s="2"/>
      <c r="Y10" s="2"/>
    </row>
    <row r="11" spans="1:25" ht="20.100000000000001" customHeight="1" thickBot="1" x14ac:dyDescent="0.3">
      <c r="A11" s="1246"/>
      <c r="B11" s="203">
        <v>1200</v>
      </c>
      <c r="C11" s="204">
        <v>600</v>
      </c>
      <c r="D11" s="209">
        <v>80</v>
      </c>
      <c r="E11" s="238" t="s">
        <v>46</v>
      </c>
      <c r="F11" s="263"/>
      <c r="G11" s="263">
        <v>0</v>
      </c>
      <c r="H11" s="264" t="s">
        <v>137</v>
      </c>
      <c r="I11" s="177"/>
      <c r="J11" s="97">
        <v>5</v>
      </c>
      <c r="K11" s="166">
        <v>3.6</v>
      </c>
      <c r="L11" s="169">
        <v>0.28799999999999998</v>
      </c>
      <c r="M11" s="97">
        <v>24</v>
      </c>
      <c r="N11" s="126">
        <v>6.911999999999999</v>
      </c>
      <c r="O11" s="231">
        <v>76.031999999999982</v>
      </c>
      <c r="P11" s="266"/>
      <c r="Q11" s="88">
        <f t="shared" si="0"/>
        <v>1044.864</v>
      </c>
      <c r="R11" s="224">
        <f t="shared" si="2"/>
        <v>3628</v>
      </c>
      <c r="S11" s="101">
        <f t="shared" si="1"/>
        <v>290.24</v>
      </c>
      <c r="U11" s="4"/>
      <c r="V11" s="82"/>
      <c r="W11" s="82"/>
      <c r="X11" s="2"/>
      <c r="Y11" s="2"/>
    </row>
    <row r="12" spans="1:25" ht="20.100000000000001" customHeight="1" thickBot="1" x14ac:dyDescent="0.3">
      <c r="A12" s="1246"/>
      <c r="B12" s="203">
        <v>1200</v>
      </c>
      <c r="C12" s="204">
        <v>600</v>
      </c>
      <c r="D12" s="209">
        <v>90</v>
      </c>
      <c r="E12" s="238" t="s">
        <v>46</v>
      </c>
      <c r="F12" s="263">
        <v>125</v>
      </c>
      <c r="G12" s="263">
        <v>20.093878600823047</v>
      </c>
      <c r="H12" s="264" t="s">
        <v>698</v>
      </c>
      <c r="I12" s="177"/>
      <c r="J12" s="97">
        <v>5</v>
      </c>
      <c r="K12" s="166">
        <v>3.6</v>
      </c>
      <c r="L12" s="169">
        <v>0.32400000000000001</v>
      </c>
      <c r="M12" s="97">
        <v>20</v>
      </c>
      <c r="N12" s="126">
        <v>6.48</v>
      </c>
      <c r="O12" s="231">
        <v>71.28</v>
      </c>
      <c r="P12" s="266"/>
      <c r="Q12" s="88">
        <f t="shared" si="0"/>
        <v>1175.472</v>
      </c>
      <c r="R12" s="224">
        <f t="shared" si="2"/>
        <v>3628</v>
      </c>
      <c r="S12" s="101">
        <f t="shared" si="1"/>
        <v>326.52</v>
      </c>
      <c r="U12" s="4"/>
      <c r="V12" s="82"/>
      <c r="W12" s="82"/>
      <c r="X12" s="2"/>
      <c r="Y12" s="2"/>
    </row>
    <row r="13" spans="1:25" ht="20.100000000000001" customHeight="1" thickBot="1" x14ac:dyDescent="0.3">
      <c r="A13" s="1246"/>
      <c r="B13" s="203">
        <v>1200</v>
      </c>
      <c r="C13" s="204">
        <v>600</v>
      </c>
      <c r="D13" s="209">
        <v>100</v>
      </c>
      <c r="E13" s="238" t="s">
        <v>46</v>
      </c>
      <c r="F13" s="263"/>
      <c r="G13" s="263">
        <v>0</v>
      </c>
      <c r="H13" s="264" t="s">
        <v>138</v>
      </c>
      <c r="I13" s="177"/>
      <c r="J13" s="97">
        <v>4</v>
      </c>
      <c r="K13" s="166">
        <v>2.16</v>
      </c>
      <c r="L13" s="169">
        <v>0.216</v>
      </c>
      <c r="M13" s="97">
        <v>24</v>
      </c>
      <c r="N13" s="126">
        <v>6.9119999999999999</v>
      </c>
      <c r="O13" s="231">
        <v>76.031999999999996</v>
      </c>
      <c r="P13" s="266"/>
      <c r="Q13" s="88">
        <f t="shared" si="0"/>
        <v>783.64800000000002</v>
      </c>
      <c r="R13" s="224">
        <f>R12</f>
        <v>3628</v>
      </c>
      <c r="S13" s="101">
        <f t="shared" si="1"/>
        <v>362.8</v>
      </c>
      <c r="U13" s="4"/>
      <c r="V13" s="82"/>
      <c r="W13" s="82"/>
      <c r="X13" s="2"/>
      <c r="Y13" s="2"/>
    </row>
    <row r="14" spans="1:25" ht="20.100000000000001" customHeight="1" thickBot="1" x14ac:dyDescent="0.3">
      <c r="A14" s="1246"/>
      <c r="B14" s="203">
        <v>1200</v>
      </c>
      <c r="C14" s="204">
        <v>600</v>
      </c>
      <c r="D14" s="209">
        <v>110</v>
      </c>
      <c r="E14" s="238" t="s">
        <v>46</v>
      </c>
      <c r="F14" s="263">
        <v>125</v>
      </c>
      <c r="G14" s="263">
        <v>18.789081289081288</v>
      </c>
      <c r="H14" s="264" t="s">
        <v>139</v>
      </c>
      <c r="I14" s="177">
        <v>379.20960000000002</v>
      </c>
      <c r="J14" s="97">
        <v>3</v>
      </c>
      <c r="K14" s="166">
        <v>2.16</v>
      </c>
      <c r="L14" s="169">
        <v>0.23760000000000003</v>
      </c>
      <c r="M14" s="97">
        <v>28</v>
      </c>
      <c r="N14" s="126">
        <v>6.6528000000000009</v>
      </c>
      <c r="O14" s="231">
        <v>73.180800000000005</v>
      </c>
      <c r="P14" s="266"/>
      <c r="Q14" s="88">
        <f t="shared" si="0"/>
        <v>862.01280000000008</v>
      </c>
      <c r="R14" s="224">
        <f t="shared" si="2"/>
        <v>3628</v>
      </c>
      <c r="S14" s="101">
        <f t="shared" si="1"/>
        <v>399.08</v>
      </c>
      <c r="U14" s="4"/>
      <c r="V14" s="82"/>
      <c r="W14" s="82"/>
      <c r="X14" s="2"/>
      <c r="Y14" s="2"/>
    </row>
    <row r="15" spans="1:25" ht="20.100000000000001" customHeight="1" thickBot="1" x14ac:dyDescent="0.3">
      <c r="A15" s="1246"/>
      <c r="B15" s="203">
        <v>1200</v>
      </c>
      <c r="C15" s="204">
        <v>600</v>
      </c>
      <c r="D15" s="209">
        <v>120</v>
      </c>
      <c r="E15" s="238" t="s">
        <v>46</v>
      </c>
      <c r="F15" s="263">
        <v>125</v>
      </c>
      <c r="G15" s="263">
        <v>20.093878600823043</v>
      </c>
      <c r="H15" s="264" t="s">
        <v>699</v>
      </c>
      <c r="I15" s="177"/>
      <c r="J15" s="97">
        <v>2</v>
      </c>
      <c r="K15" s="166">
        <v>1.44</v>
      </c>
      <c r="L15" s="169">
        <v>0.17280000000000001</v>
      </c>
      <c r="M15" s="97">
        <v>40</v>
      </c>
      <c r="N15" s="126">
        <v>6.9119999999999999</v>
      </c>
      <c r="O15" s="231">
        <v>76.031999999999996</v>
      </c>
      <c r="P15" s="266"/>
      <c r="Q15" s="88">
        <f t="shared" si="0"/>
        <v>626.91840000000002</v>
      </c>
      <c r="R15" s="224">
        <f t="shared" si="2"/>
        <v>3628</v>
      </c>
      <c r="S15" s="101">
        <f t="shared" si="1"/>
        <v>435.36</v>
      </c>
      <c r="U15" s="4"/>
      <c r="V15" s="82"/>
      <c r="W15" s="82"/>
      <c r="X15" s="2"/>
      <c r="Y15" s="2"/>
    </row>
    <row r="16" spans="1:25" ht="20.100000000000001" customHeight="1" thickBot="1" x14ac:dyDescent="0.3">
      <c r="A16" s="1246"/>
      <c r="B16" s="203">
        <v>1200</v>
      </c>
      <c r="C16" s="204">
        <v>600</v>
      </c>
      <c r="D16" s="209">
        <v>130</v>
      </c>
      <c r="E16" s="238" t="s">
        <v>46</v>
      </c>
      <c r="F16" s="263">
        <v>125</v>
      </c>
      <c r="G16" s="263">
        <v>18.548195631528966</v>
      </c>
      <c r="H16" s="264" t="s">
        <v>140</v>
      </c>
      <c r="I16" s="177">
        <v>384.13439999999991</v>
      </c>
      <c r="J16" s="97">
        <v>2</v>
      </c>
      <c r="K16" s="166">
        <v>1.44</v>
      </c>
      <c r="L16" s="169">
        <v>0.18719999999999998</v>
      </c>
      <c r="M16" s="97">
        <v>36</v>
      </c>
      <c r="N16" s="126">
        <v>6.7391999999999994</v>
      </c>
      <c r="O16" s="231">
        <v>74.131199999999993</v>
      </c>
      <c r="P16" s="266"/>
      <c r="Q16" s="88">
        <f t="shared" si="0"/>
        <v>679.16159999999991</v>
      </c>
      <c r="R16" s="224">
        <f>R15</f>
        <v>3628</v>
      </c>
      <c r="S16" s="101">
        <f t="shared" si="1"/>
        <v>471.64</v>
      </c>
      <c r="U16" s="4"/>
      <c r="V16" s="82"/>
      <c r="W16" s="82"/>
      <c r="X16" s="2"/>
      <c r="Y16" s="2"/>
    </row>
    <row r="17" spans="1:25" ht="20.100000000000001" customHeight="1" thickBot="1" x14ac:dyDescent="0.3">
      <c r="A17" s="1246"/>
      <c r="B17" s="203">
        <v>1200</v>
      </c>
      <c r="C17" s="204">
        <v>600</v>
      </c>
      <c r="D17" s="209">
        <v>140</v>
      </c>
      <c r="E17" s="238" t="s">
        <v>46</v>
      </c>
      <c r="F17" s="263">
        <v>125</v>
      </c>
      <c r="G17" s="263">
        <v>19.376240079365079</v>
      </c>
      <c r="H17" s="264" t="s">
        <v>141</v>
      </c>
      <c r="I17" s="177">
        <v>387.072</v>
      </c>
      <c r="J17" s="97">
        <v>2</v>
      </c>
      <c r="K17" s="166">
        <v>1.44</v>
      </c>
      <c r="L17" s="169">
        <v>0.2016</v>
      </c>
      <c r="M17" s="97">
        <v>32</v>
      </c>
      <c r="N17" s="126">
        <v>6.4512</v>
      </c>
      <c r="O17" s="231">
        <v>70.963200000000001</v>
      </c>
      <c r="P17" s="266"/>
      <c r="Q17" s="88">
        <f t="shared" si="0"/>
        <v>731.40480000000002</v>
      </c>
      <c r="R17" s="224">
        <f t="shared" si="2"/>
        <v>3628</v>
      </c>
      <c r="S17" s="101">
        <f t="shared" si="1"/>
        <v>507.92</v>
      </c>
      <c r="U17" s="4"/>
      <c r="V17" s="82"/>
      <c r="W17" s="82"/>
      <c r="X17" s="2"/>
      <c r="Y17" s="2"/>
    </row>
    <row r="18" spans="1:25" ht="20.100000000000001" customHeight="1" thickBot="1" x14ac:dyDescent="0.3">
      <c r="A18" s="1246"/>
      <c r="B18" s="203">
        <v>1200</v>
      </c>
      <c r="C18" s="204">
        <v>600</v>
      </c>
      <c r="D18" s="209">
        <v>150</v>
      </c>
      <c r="E18" s="238" t="s">
        <v>46</v>
      </c>
      <c r="F18" s="263">
        <v>125</v>
      </c>
      <c r="G18" s="263">
        <v>18.08449074074074</v>
      </c>
      <c r="H18" s="264" t="s">
        <v>142</v>
      </c>
      <c r="I18" s="177">
        <v>393.98400000000004</v>
      </c>
      <c r="J18" s="97">
        <v>2</v>
      </c>
      <c r="K18" s="166">
        <v>1.44</v>
      </c>
      <c r="L18" s="169">
        <v>0.216</v>
      </c>
      <c r="M18" s="97">
        <v>32</v>
      </c>
      <c r="N18" s="126">
        <v>6.9119999999999999</v>
      </c>
      <c r="O18" s="231">
        <v>76.031999999999996</v>
      </c>
      <c r="P18" s="266"/>
      <c r="Q18" s="88">
        <f t="shared" si="0"/>
        <v>783.64800000000002</v>
      </c>
      <c r="R18" s="224">
        <f t="shared" si="2"/>
        <v>3628</v>
      </c>
      <c r="S18" s="101">
        <f t="shared" si="1"/>
        <v>544.20000000000005</v>
      </c>
      <c r="U18" s="4"/>
      <c r="V18" s="82"/>
      <c r="W18" s="82"/>
      <c r="X18" s="2"/>
      <c r="Y18" s="2"/>
    </row>
    <row r="19" spans="1:25" ht="20.100000000000001" customHeight="1" thickBot="1" x14ac:dyDescent="0.3">
      <c r="A19" s="1246"/>
      <c r="B19" s="203">
        <v>1200</v>
      </c>
      <c r="C19" s="204">
        <v>600</v>
      </c>
      <c r="D19" s="209">
        <v>160</v>
      </c>
      <c r="E19" s="238" t="s">
        <v>46</v>
      </c>
      <c r="F19" s="263">
        <v>125</v>
      </c>
      <c r="G19" s="263">
        <v>19.376240079365083</v>
      </c>
      <c r="H19" s="264" t="s">
        <v>143</v>
      </c>
      <c r="I19" s="177">
        <v>387.07199999999989</v>
      </c>
      <c r="J19" s="97">
        <v>2</v>
      </c>
      <c r="K19" s="166">
        <v>1.44</v>
      </c>
      <c r="L19" s="169">
        <v>0.23039999999999997</v>
      </c>
      <c r="M19" s="97">
        <v>28</v>
      </c>
      <c r="N19" s="126">
        <v>6.4511999999999992</v>
      </c>
      <c r="O19" s="231">
        <v>70.963199999999986</v>
      </c>
      <c r="P19" s="266"/>
      <c r="Q19" s="88">
        <f t="shared" si="0"/>
        <v>835.89119999999991</v>
      </c>
      <c r="R19" s="224">
        <f t="shared" si="2"/>
        <v>3628</v>
      </c>
      <c r="S19" s="101">
        <f t="shared" si="1"/>
        <v>580.48</v>
      </c>
      <c r="U19" s="4"/>
      <c r="V19" s="82"/>
      <c r="W19" s="82"/>
      <c r="X19" s="2"/>
      <c r="Y19" s="2"/>
    </row>
    <row r="20" spans="1:25" ht="20.100000000000001" customHeight="1" thickBot="1" x14ac:dyDescent="0.3">
      <c r="A20" s="1246"/>
      <c r="B20" s="203">
        <v>1200</v>
      </c>
      <c r="C20" s="204">
        <v>600</v>
      </c>
      <c r="D20" s="209">
        <v>170</v>
      </c>
      <c r="E20" s="238" t="s">
        <v>46</v>
      </c>
      <c r="F20" s="263">
        <v>125</v>
      </c>
      <c r="G20" s="263">
        <v>18.236461251167132</v>
      </c>
      <c r="H20" s="264" t="s">
        <v>144</v>
      </c>
      <c r="I20" s="177">
        <v>390.70079999999996</v>
      </c>
      <c r="J20" s="97">
        <v>2</v>
      </c>
      <c r="K20" s="166">
        <v>1.44</v>
      </c>
      <c r="L20" s="169">
        <v>0.24479999999999999</v>
      </c>
      <c r="M20" s="97">
        <v>28</v>
      </c>
      <c r="N20" s="126">
        <v>6.8544</v>
      </c>
      <c r="O20" s="231">
        <v>75.398399999999995</v>
      </c>
      <c r="P20" s="266"/>
      <c r="Q20" s="88">
        <f t="shared" si="0"/>
        <v>888.13439999999991</v>
      </c>
      <c r="R20" s="224">
        <f t="shared" si="2"/>
        <v>3628</v>
      </c>
      <c r="S20" s="101">
        <f t="shared" si="1"/>
        <v>616.76</v>
      </c>
      <c r="U20" s="4"/>
      <c r="V20" s="82"/>
      <c r="W20" s="82"/>
      <c r="X20" s="2"/>
      <c r="Y20" s="2"/>
    </row>
    <row r="21" spans="1:25" ht="20.100000000000001" customHeight="1" thickBot="1" x14ac:dyDescent="0.3">
      <c r="A21" s="1246"/>
      <c r="B21" s="203">
        <v>1200</v>
      </c>
      <c r="C21" s="204">
        <v>600</v>
      </c>
      <c r="D21" s="209">
        <v>180</v>
      </c>
      <c r="E21" s="238" t="s">
        <v>46</v>
      </c>
      <c r="F21" s="263">
        <v>125</v>
      </c>
      <c r="G21" s="263">
        <v>20.093878600823047</v>
      </c>
      <c r="H21" s="264" t="s">
        <v>145</v>
      </c>
      <c r="I21" s="177">
        <v>391.91039999999998</v>
      </c>
      <c r="J21" s="97">
        <v>2</v>
      </c>
      <c r="K21" s="166">
        <v>1.44</v>
      </c>
      <c r="L21" s="169">
        <v>0.25919999999999999</v>
      </c>
      <c r="M21" s="97">
        <v>24</v>
      </c>
      <c r="N21" s="126">
        <v>6.2207999999999997</v>
      </c>
      <c r="O21" s="231">
        <v>68.428799999999995</v>
      </c>
      <c r="P21" s="266"/>
      <c r="Q21" s="88">
        <f t="shared" si="0"/>
        <v>940.37759999999992</v>
      </c>
      <c r="R21" s="224">
        <f t="shared" si="2"/>
        <v>3628</v>
      </c>
      <c r="S21" s="101">
        <f t="shared" si="1"/>
        <v>653.04</v>
      </c>
      <c r="U21" s="4"/>
      <c r="V21" s="82"/>
      <c r="W21" s="82"/>
      <c r="X21" s="2"/>
      <c r="Y21" s="2"/>
    </row>
    <row r="22" spans="1:25" ht="20.100000000000001" customHeight="1" thickBot="1" x14ac:dyDescent="0.3">
      <c r="A22" s="1246"/>
      <c r="B22" s="203">
        <v>1200</v>
      </c>
      <c r="C22" s="204">
        <v>600</v>
      </c>
      <c r="D22" s="209">
        <v>190</v>
      </c>
      <c r="E22" s="238" t="s">
        <v>46</v>
      </c>
      <c r="F22" s="263">
        <v>125</v>
      </c>
      <c r="G22" s="263">
        <v>19.036306042884995</v>
      </c>
      <c r="H22" s="264" t="s">
        <v>146</v>
      </c>
      <c r="I22" s="177">
        <v>413.68319999999994</v>
      </c>
      <c r="J22" s="97">
        <v>2</v>
      </c>
      <c r="K22" s="166">
        <v>1.44</v>
      </c>
      <c r="L22" s="169">
        <v>0.27359999999999995</v>
      </c>
      <c r="M22" s="97">
        <v>24</v>
      </c>
      <c r="N22" s="126">
        <v>6.5663999999999989</v>
      </c>
      <c r="O22" s="231">
        <v>72.230399999999989</v>
      </c>
      <c r="P22" s="266"/>
      <c r="Q22" s="88">
        <f t="shared" si="0"/>
        <v>992.6207999999998</v>
      </c>
      <c r="R22" s="224">
        <f t="shared" si="2"/>
        <v>3628</v>
      </c>
      <c r="S22" s="101">
        <f t="shared" si="1"/>
        <v>689.32</v>
      </c>
      <c r="U22" s="4"/>
      <c r="V22" s="82"/>
      <c r="W22" s="82"/>
      <c r="X22" s="2"/>
      <c r="Y22" s="2"/>
    </row>
    <row r="23" spans="1:25" ht="20.100000000000001" customHeight="1" thickBot="1" x14ac:dyDescent="0.3">
      <c r="A23" s="1247"/>
      <c r="B23" s="240">
        <v>1200</v>
      </c>
      <c r="C23" s="241">
        <v>600</v>
      </c>
      <c r="D23" s="242">
        <v>200</v>
      </c>
      <c r="E23" s="238" t="s">
        <v>46</v>
      </c>
      <c r="F23" s="263">
        <v>125</v>
      </c>
      <c r="G23" s="289">
        <v>18.084490740740744</v>
      </c>
      <c r="H23" s="317" t="s">
        <v>147</v>
      </c>
      <c r="I23" s="445">
        <v>435.45599999999996</v>
      </c>
      <c r="J23" s="306">
        <v>2</v>
      </c>
      <c r="K23" s="167">
        <v>1.44</v>
      </c>
      <c r="L23" s="307">
        <v>0.28799999999999998</v>
      </c>
      <c r="M23" s="306">
        <v>24</v>
      </c>
      <c r="N23" s="129">
        <v>6.911999999999999</v>
      </c>
      <c r="O23" s="260">
        <v>76.031999999999982</v>
      </c>
      <c r="P23" s="308"/>
      <c r="Q23" s="479">
        <f t="shared" si="0"/>
        <v>1044.864</v>
      </c>
      <c r="R23" s="224">
        <f t="shared" si="2"/>
        <v>3628</v>
      </c>
      <c r="S23" s="101">
        <f t="shared" si="1"/>
        <v>725.6</v>
      </c>
      <c r="U23" s="4"/>
      <c r="V23" s="82"/>
      <c r="W23" s="82"/>
      <c r="X23" s="2"/>
      <c r="Y23" s="2"/>
    </row>
    <row r="24" spans="1:25" ht="20.100000000000001" customHeight="1" thickBot="1" x14ac:dyDescent="0.3">
      <c r="A24" s="35" t="s">
        <v>11</v>
      </c>
      <c r="B24" s="252">
        <v>1200</v>
      </c>
      <c r="C24" s="250">
        <v>600</v>
      </c>
      <c r="D24" s="251">
        <v>50</v>
      </c>
      <c r="E24" s="238" t="s">
        <v>46</v>
      </c>
      <c r="F24" s="278"/>
      <c r="G24" s="319">
        <v>0</v>
      </c>
      <c r="H24" s="310" t="s">
        <v>148</v>
      </c>
      <c r="I24" s="178"/>
      <c r="J24" s="311">
        <v>6</v>
      </c>
      <c r="K24" s="323">
        <v>4.32</v>
      </c>
      <c r="L24" s="228">
        <v>0.216</v>
      </c>
      <c r="M24" s="311">
        <v>32</v>
      </c>
      <c r="N24" s="228">
        <v>6.9119999999999999</v>
      </c>
      <c r="O24" s="226">
        <v>76.031999999999996</v>
      </c>
      <c r="P24" s="321"/>
      <c r="Q24" s="88">
        <f>L24*R24</f>
        <v>875.44799999999998</v>
      </c>
      <c r="R24" s="656">
        <v>4053</v>
      </c>
      <c r="S24" s="313">
        <v>185.66749999999993</v>
      </c>
      <c r="U24" s="4"/>
      <c r="V24" s="82"/>
      <c r="X24" s="2"/>
    </row>
    <row r="25" spans="1:25" ht="20.100000000000001" customHeight="1" thickBot="1" x14ac:dyDescent="0.3">
      <c r="A25" s="1246" t="s">
        <v>27</v>
      </c>
      <c r="B25" s="203">
        <v>1200</v>
      </c>
      <c r="C25" s="204">
        <v>600</v>
      </c>
      <c r="D25" s="209">
        <v>60</v>
      </c>
      <c r="E25" s="238" t="s">
        <v>46</v>
      </c>
      <c r="F25" s="263">
        <v>111.11111111111111</v>
      </c>
      <c r="G25" s="263">
        <v>16.075102880658438</v>
      </c>
      <c r="H25" s="264" t="s">
        <v>149</v>
      </c>
      <c r="I25" s="177">
        <v>352.512</v>
      </c>
      <c r="J25" s="97">
        <v>5</v>
      </c>
      <c r="K25" s="168">
        <v>3.6</v>
      </c>
      <c r="L25" s="324">
        <v>0.216</v>
      </c>
      <c r="M25" s="97">
        <v>32</v>
      </c>
      <c r="N25" s="126">
        <v>6.9119999999999999</v>
      </c>
      <c r="O25" s="227">
        <v>76.031999999999996</v>
      </c>
      <c r="P25" s="266"/>
      <c r="Q25" s="88">
        <f t="shared" si="0"/>
        <v>875.44799999999998</v>
      </c>
      <c r="R25" s="657">
        <f>R24</f>
        <v>4053</v>
      </c>
      <c r="S25" s="206">
        <v>222.80099999999993</v>
      </c>
      <c r="U25" s="4"/>
      <c r="V25" s="82"/>
      <c r="W25" s="82"/>
      <c r="X25" s="2"/>
    </row>
    <row r="26" spans="1:25" ht="20.100000000000001" customHeight="1" thickBot="1" x14ac:dyDescent="0.3">
      <c r="A26" s="1246"/>
      <c r="B26" s="203">
        <v>1200</v>
      </c>
      <c r="C26" s="204">
        <v>600</v>
      </c>
      <c r="D26" s="209">
        <v>70</v>
      </c>
      <c r="E26" s="238" t="s">
        <v>46</v>
      </c>
      <c r="F26" s="263">
        <v>111.11111111111111</v>
      </c>
      <c r="G26" s="263">
        <v>17.223324514991184</v>
      </c>
      <c r="H26" s="264" t="s">
        <v>150</v>
      </c>
      <c r="I26" s="177">
        <v>348.3648</v>
      </c>
      <c r="J26" s="97">
        <v>4</v>
      </c>
      <c r="K26" s="168">
        <v>2.8800000000000003</v>
      </c>
      <c r="L26" s="126">
        <v>0.2016</v>
      </c>
      <c r="M26" s="97">
        <v>32</v>
      </c>
      <c r="N26" s="126">
        <v>6.4512</v>
      </c>
      <c r="O26" s="227">
        <v>70.963200000000001</v>
      </c>
      <c r="P26" s="266"/>
      <c r="Q26" s="88">
        <f t="shared" si="0"/>
        <v>817.08479999999997</v>
      </c>
      <c r="R26" s="657">
        <f t="shared" ref="R26:R39" si="3">R25</f>
        <v>4053</v>
      </c>
      <c r="S26" s="206">
        <v>259.93449999999996</v>
      </c>
      <c r="U26" s="4"/>
      <c r="V26" s="82"/>
      <c r="W26" s="82"/>
      <c r="X26" s="2"/>
    </row>
    <row r="27" spans="1:25" ht="20.100000000000001" customHeight="1" thickBot="1" x14ac:dyDescent="0.3">
      <c r="A27" s="1246"/>
      <c r="B27" s="203">
        <v>1200</v>
      </c>
      <c r="C27" s="204">
        <v>600</v>
      </c>
      <c r="D27" s="209">
        <v>80</v>
      </c>
      <c r="E27" s="238" t="s">
        <v>46</v>
      </c>
      <c r="F27" s="263">
        <v>111.11111111111111</v>
      </c>
      <c r="G27" s="263">
        <v>16.075102880658438</v>
      </c>
      <c r="H27" s="264" t="s">
        <v>151</v>
      </c>
      <c r="I27" s="177">
        <v>352.51199999999994</v>
      </c>
      <c r="J27" s="97">
        <v>5</v>
      </c>
      <c r="K27" s="168">
        <v>3.6</v>
      </c>
      <c r="L27" s="126">
        <v>0.28799999999999998</v>
      </c>
      <c r="M27" s="97">
        <v>24</v>
      </c>
      <c r="N27" s="126">
        <v>6.911999999999999</v>
      </c>
      <c r="O27" s="227">
        <v>76.031999999999982</v>
      </c>
      <c r="P27" s="266"/>
      <c r="Q27" s="88">
        <f t="shared" si="0"/>
        <v>1167.2639999999999</v>
      </c>
      <c r="R27" s="657">
        <f t="shared" si="3"/>
        <v>4053</v>
      </c>
      <c r="S27" s="206">
        <v>297.06799999999993</v>
      </c>
      <c r="U27" s="4"/>
      <c r="V27" s="82"/>
      <c r="W27" s="82"/>
      <c r="X27" s="2"/>
    </row>
    <row r="28" spans="1:25" ht="20.100000000000001" customHeight="1" thickBot="1" x14ac:dyDescent="0.3">
      <c r="A28" s="1246"/>
      <c r="B28" s="203">
        <v>1200</v>
      </c>
      <c r="C28" s="204">
        <v>600</v>
      </c>
      <c r="D28" s="209">
        <v>90</v>
      </c>
      <c r="E28" s="238" t="s">
        <v>46</v>
      </c>
      <c r="F28" s="263">
        <v>111.11111111111111</v>
      </c>
      <c r="G28" s="263">
        <v>17.861225422953819</v>
      </c>
      <c r="H28" s="264" t="s">
        <v>249</v>
      </c>
      <c r="I28" s="177">
        <v>335.92319999999995</v>
      </c>
      <c r="J28" s="97">
        <v>4</v>
      </c>
      <c r="K28" s="168">
        <v>2.88</v>
      </c>
      <c r="L28" s="126">
        <v>0.25919999999999999</v>
      </c>
      <c r="M28" s="97">
        <v>24</v>
      </c>
      <c r="N28" s="126">
        <v>6.2207999999999997</v>
      </c>
      <c r="O28" s="227">
        <v>68.428799999999995</v>
      </c>
      <c r="P28" s="266"/>
      <c r="Q28" s="88">
        <f t="shared" si="0"/>
        <v>1050.5375999999999</v>
      </c>
      <c r="R28" s="657">
        <f t="shared" si="3"/>
        <v>4053</v>
      </c>
      <c r="S28" s="267">
        <v>334.2014999999999</v>
      </c>
      <c r="U28" s="4"/>
      <c r="V28" s="82"/>
      <c r="W28" s="82"/>
      <c r="X28" s="2"/>
    </row>
    <row r="29" spans="1:25" ht="20.100000000000001" customHeight="1" thickBot="1" x14ac:dyDescent="0.3">
      <c r="A29" s="1246"/>
      <c r="B29" s="203">
        <v>1200</v>
      </c>
      <c r="C29" s="204">
        <v>600</v>
      </c>
      <c r="D29" s="209">
        <v>100</v>
      </c>
      <c r="E29" s="238" t="s">
        <v>46</v>
      </c>
      <c r="F29" s="263"/>
      <c r="G29" s="263">
        <v>0</v>
      </c>
      <c r="H29" s="264" t="s">
        <v>152</v>
      </c>
      <c r="I29" s="177"/>
      <c r="J29" s="97">
        <v>4</v>
      </c>
      <c r="K29" s="168">
        <v>2.88</v>
      </c>
      <c r="L29" s="126">
        <v>0.28799999999999998</v>
      </c>
      <c r="M29" s="97">
        <v>24</v>
      </c>
      <c r="N29" s="126">
        <v>6.911999999999999</v>
      </c>
      <c r="O29" s="227">
        <v>76.031999999999982</v>
      </c>
      <c r="P29" s="266"/>
      <c r="Q29" s="88">
        <f t="shared" si="0"/>
        <v>1167.2639999999999</v>
      </c>
      <c r="R29" s="657">
        <f t="shared" si="3"/>
        <v>4053</v>
      </c>
      <c r="S29" s="267">
        <v>371.33499999999987</v>
      </c>
      <c r="U29" s="4"/>
      <c r="V29" s="82"/>
      <c r="X29" s="2"/>
    </row>
    <row r="30" spans="1:25" ht="20.100000000000001" customHeight="1" thickBot="1" x14ac:dyDescent="0.3">
      <c r="A30" s="1246"/>
      <c r="B30" s="203">
        <v>1200</v>
      </c>
      <c r="C30" s="204">
        <v>600</v>
      </c>
      <c r="D30" s="209">
        <v>110</v>
      </c>
      <c r="E30" s="238" t="s">
        <v>46</v>
      </c>
      <c r="F30" s="263">
        <v>111.11111111111111</v>
      </c>
      <c r="G30" s="263">
        <v>16.701405590294481</v>
      </c>
      <c r="H30" s="264" t="s">
        <v>250</v>
      </c>
      <c r="I30" s="177">
        <v>339.2928</v>
      </c>
      <c r="J30" s="97">
        <v>3</v>
      </c>
      <c r="K30" s="168">
        <v>2.16</v>
      </c>
      <c r="L30" s="126">
        <v>0.23760000000000001</v>
      </c>
      <c r="M30" s="97">
        <v>28</v>
      </c>
      <c r="N30" s="126">
        <v>6.6528</v>
      </c>
      <c r="O30" s="227">
        <v>73.180800000000005</v>
      </c>
      <c r="P30" s="266"/>
      <c r="Q30" s="88">
        <f t="shared" si="0"/>
        <v>962.99279999999999</v>
      </c>
      <c r="R30" s="657">
        <f t="shared" si="3"/>
        <v>4053</v>
      </c>
      <c r="S30" s="206">
        <v>408.46849999999989</v>
      </c>
      <c r="U30" s="4"/>
      <c r="V30" s="82"/>
      <c r="W30" s="82"/>
      <c r="X30" s="2"/>
    </row>
    <row r="31" spans="1:25" ht="20.100000000000001" customHeight="1" thickBot="1" x14ac:dyDescent="0.3">
      <c r="A31" s="1246"/>
      <c r="B31" s="203">
        <v>1200</v>
      </c>
      <c r="C31" s="204">
        <v>600</v>
      </c>
      <c r="D31" s="209">
        <v>120</v>
      </c>
      <c r="E31" s="238" t="s">
        <v>46</v>
      </c>
      <c r="F31" s="263">
        <v>111.11111111111111</v>
      </c>
      <c r="G31" s="263">
        <v>17.861225422953819</v>
      </c>
      <c r="H31" s="264" t="s">
        <v>153</v>
      </c>
      <c r="I31" s="177">
        <v>317.26079999999996</v>
      </c>
      <c r="J31" s="97">
        <v>3</v>
      </c>
      <c r="K31" s="168">
        <v>2.16</v>
      </c>
      <c r="L31" s="126">
        <v>0.25919999999999999</v>
      </c>
      <c r="M31" s="97">
        <v>24</v>
      </c>
      <c r="N31" s="126">
        <v>6.2207999999999997</v>
      </c>
      <c r="O31" s="227">
        <v>68.428799999999995</v>
      </c>
      <c r="P31" s="266"/>
      <c r="Q31" s="88">
        <f t="shared" si="0"/>
        <v>1050.5375999999999</v>
      </c>
      <c r="R31" s="657">
        <f t="shared" si="3"/>
        <v>4053</v>
      </c>
      <c r="S31" s="267">
        <v>445.60199999999986</v>
      </c>
      <c r="U31" s="4"/>
      <c r="V31" s="82"/>
      <c r="W31" s="82"/>
      <c r="X31" s="2"/>
    </row>
    <row r="32" spans="1:25" ht="20.100000000000001" customHeight="1" thickBot="1" x14ac:dyDescent="0.3">
      <c r="A32" s="1246"/>
      <c r="B32" s="203">
        <v>1200</v>
      </c>
      <c r="C32" s="204">
        <v>600</v>
      </c>
      <c r="D32" s="209">
        <v>130</v>
      </c>
      <c r="E32" s="238" t="s">
        <v>46</v>
      </c>
      <c r="F32" s="263">
        <v>111.11111111111111</v>
      </c>
      <c r="G32" s="263">
        <v>16.487285005803525</v>
      </c>
      <c r="H32" s="264" t="s">
        <v>251</v>
      </c>
      <c r="I32" s="177">
        <v>343.69920000000002</v>
      </c>
      <c r="J32" s="97">
        <v>2</v>
      </c>
      <c r="K32" s="168">
        <v>1.4400000000000002</v>
      </c>
      <c r="L32" s="255">
        <v>0.18720000000000001</v>
      </c>
      <c r="M32" s="127">
        <v>36</v>
      </c>
      <c r="N32" s="126">
        <v>6.7392000000000003</v>
      </c>
      <c r="O32" s="227">
        <v>74.131200000000007</v>
      </c>
      <c r="P32" s="266"/>
      <c r="Q32" s="88">
        <f t="shared" si="0"/>
        <v>758.72159999999997</v>
      </c>
      <c r="R32" s="657">
        <f t="shared" si="3"/>
        <v>4053</v>
      </c>
      <c r="S32" s="206">
        <v>482.73549999999989</v>
      </c>
      <c r="U32" s="4"/>
      <c r="V32" s="82"/>
      <c r="W32" s="82"/>
      <c r="X32" s="2"/>
    </row>
    <row r="33" spans="1:24" ht="20.100000000000001" customHeight="1" thickBot="1" x14ac:dyDescent="0.3">
      <c r="A33" s="1246"/>
      <c r="B33" s="203">
        <v>1200</v>
      </c>
      <c r="C33" s="204">
        <v>600</v>
      </c>
      <c r="D33" s="209">
        <v>140</v>
      </c>
      <c r="E33" s="238" t="s">
        <v>46</v>
      </c>
      <c r="F33" s="263">
        <v>111.11111111111111</v>
      </c>
      <c r="G33" s="263">
        <v>17.223324514991184</v>
      </c>
      <c r="H33" s="264" t="s">
        <v>252</v>
      </c>
      <c r="I33" s="177">
        <v>329.01120000000003</v>
      </c>
      <c r="J33" s="97">
        <v>2</v>
      </c>
      <c r="K33" s="265">
        <v>1.4400000000000002</v>
      </c>
      <c r="L33" s="126">
        <v>0.2016</v>
      </c>
      <c r="M33" s="127">
        <v>32</v>
      </c>
      <c r="N33" s="126">
        <v>6.4512</v>
      </c>
      <c r="O33" s="227">
        <v>70.963200000000001</v>
      </c>
      <c r="P33" s="266"/>
      <c r="Q33" s="88">
        <f t="shared" si="0"/>
        <v>817.08479999999997</v>
      </c>
      <c r="R33" s="657">
        <f t="shared" si="3"/>
        <v>4053</v>
      </c>
      <c r="S33" s="267">
        <v>519.86899999999991</v>
      </c>
      <c r="U33" s="4"/>
      <c r="V33" s="82"/>
      <c r="W33" s="82"/>
      <c r="X33" s="2"/>
    </row>
    <row r="34" spans="1:24" ht="20.100000000000001" customHeight="1" thickBot="1" x14ac:dyDescent="0.3">
      <c r="A34" s="1246"/>
      <c r="B34" s="203">
        <v>1200</v>
      </c>
      <c r="C34" s="204">
        <v>600</v>
      </c>
      <c r="D34" s="209">
        <v>150</v>
      </c>
      <c r="E34" s="238" t="s">
        <v>46</v>
      </c>
      <c r="F34" s="263">
        <v>111.11111111111111</v>
      </c>
      <c r="G34" s="263">
        <v>16.075102880658438</v>
      </c>
      <c r="H34" s="264" t="s">
        <v>253</v>
      </c>
      <c r="I34" s="177">
        <v>352.512</v>
      </c>
      <c r="J34" s="97">
        <v>2</v>
      </c>
      <c r="K34" s="265">
        <v>1.4400000000000002</v>
      </c>
      <c r="L34" s="126">
        <v>0.216</v>
      </c>
      <c r="M34" s="127">
        <v>32</v>
      </c>
      <c r="N34" s="126">
        <v>6.9119999999999999</v>
      </c>
      <c r="O34" s="227">
        <v>76.031999999999996</v>
      </c>
      <c r="P34" s="266"/>
      <c r="Q34" s="88">
        <f t="shared" si="0"/>
        <v>875.44799999999998</v>
      </c>
      <c r="R34" s="657">
        <f t="shared" si="3"/>
        <v>4053</v>
      </c>
      <c r="S34" s="267">
        <v>557.00249999999983</v>
      </c>
      <c r="U34" s="4"/>
      <c r="V34" s="82"/>
      <c r="W34" s="82"/>
      <c r="X34" s="2"/>
    </row>
    <row r="35" spans="1:24" ht="20.100000000000001" customHeight="1" thickBot="1" x14ac:dyDescent="0.3">
      <c r="A35" s="1246"/>
      <c r="B35" s="203">
        <v>1200</v>
      </c>
      <c r="C35" s="204">
        <v>600</v>
      </c>
      <c r="D35" s="209">
        <v>160</v>
      </c>
      <c r="E35" s="238" t="s">
        <v>46</v>
      </c>
      <c r="F35" s="263">
        <v>111.11111111111111</v>
      </c>
      <c r="G35" s="263">
        <v>17.223324514991184</v>
      </c>
      <c r="H35" s="264" t="s">
        <v>254</v>
      </c>
      <c r="I35" s="177">
        <v>329.01120000000003</v>
      </c>
      <c r="J35" s="97">
        <v>2</v>
      </c>
      <c r="K35" s="265">
        <v>1.44</v>
      </c>
      <c r="L35" s="126">
        <v>0.23039999999999999</v>
      </c>
      <c r="M35" s="127">
        <v>28</v>
      </c>
      <c r="N35" s="126">
        <v>6.4512</v>
      </c>
      <c r="O35" s="227">
        <v>70.963200000000001</v>
      </c>
      <c r="P35" s="266"/>
      <c r="Q35" s="88">
        <f t="shared" si="0"/>
        <v>933.81119999999999</v>
      </c>
      <c r="R35" s="657">
        <f t="shared" si="3"/>
        <v>4053</v>
      </c>
      <c r="S35" s="267">
        <v>594.13599999999985</v>
      </c>
      <c r="U35" s="4"/>
      <c r="V35" s="82"/>
      <c r="W35" s="82"/>
      <c r="X35" s="2"/>
    </row>
    <row r="36" spans="1:24" ht="20.100000000000001" customHeight="1" thickBot="1" x14ac:dyDescent="0.3">
      <c r="A36" s="1246"/>
      <c r="B36" s="203">
        <v>1200</v>
      </c>
      <c r="C36" s="204">
        <v>600</v>
      </c>
      <c r="D36" s="209">
        <v>170</v>
      </c>
      <c r="E36" s="238" t="s">
        <v>46</v>
      </c>
      <c r="F36" s="263">
        <v>111.11111111111111</v>
      </c>
      <c r="G36" s="263">
        <v>16.210187778815229</v>
      </c>
      <c r="H36" s="264" t="s">
        <v>255</v>
      </c>
      <c r="I36" s="177">
        <v>349.57439999999997</v>
      </c>
      <c r="J36" s="97">
        <v>2</v>
      </c>
      <c r="K36" s="265">
        <v>1.44</v>
      </c>
      <c r="L36" s="126">
        <v>0.24479999999999999</v>
      </c>
      <c r="M36" s="127">
        <v>28</v>
      </c>
      <c r="N36" s="126">
        <v>6.8544</v>
      </c>
      <c r="O36" s="227">
        <v>75.398399999999995</v>
      </c>
      <c r="P36" s="266"/>
      <c r="Q36" s="88">
        <f t="shared" si="0"/>
        <v>992.17439999999999</v>
      </c>
      <c r="R36" s="657">
        <f t="shared" si="3"/>
        <v>4053</v>
      </c>
      <c r="S36" s="315">
        <v>631.26949999999988</v>
      </c>
      <c r="U36" s="4"/>
      <c r="V36" s="82"/>
      <c r="W36" s="82"/>
      <c r="X36" s="2"/>
    </row>
    <row r="37" spans="1:24" ht="20.100000000000001" customHeight="1" thickBot="1" x14ac:dyDescent="0.3">
      <c r="A37" s="1246"/>
      <c r="B37" s="203">
        <v>1200</v>
      </c>
      <c r="C37" s="204">
        <v>600</v>
      </c>
      <c r="D37" s="209">
        <v>180</v>
      </c>
      <c r="E37" s="238" t="s">
        <v>46</v>
      </c>
      <c r="F37" s="263">
        <v>111.11111111111111</v>
      </c>
      <c r="G37" s="263">
        <v>17.861225422953819</v>
      </c>
      <c r="H37" s="264" t="s">
        <v>256</v>
      </c>
      <c r="I37" s="177">
        <v>317.26079999999996</v>
      </c>
      <c r="J37" s="97">
        <v>2</v>
      </c>
      <c r="K37" s="265">
        <v>1.44</v>
      </c>
      <c r="L37" s="126">
        <v>0.25919999999999999</v>
      </c>
      <c r="M37" s="127">
        <v>24</v>
      </c>
      <c r="N37" s="126">
        <v>6.2207999999999997</v>
      </c>
      <c r="O37" s="227">
        <v>68.428799999999995</v>
      </c>
      <c r="P37" s="266"/>
      <c r="Q37" s="88">
        <f t="shared" si="0"/>
        <v>1050.5375999999999</v>
      </c>
      <c r="R37" s="657">
        <f t="shared" si="3"/>
        <v>4053</v>
      </c>
      <c r="S37" s="267">
        <v>668.40299999999979</v>
      </c>
      <c r="U37" s="4"/>
      <c r="V37" s="82"/>
      <c r="W37" s="82"/>
      <c r="X37" s="2"/>
    </row>
    <row r="38" spans="1:24" ht="20.100000000000001" customHeight="1" thickBot="1" x14ac:dyDescent="0.3">
      <c r="A38" s="1246"/>
      <c r="B38" s="203">
        <v>1200</v>
      </c>
      <c r="C38" s="204">
        <v>600</v>
      </c>
      <c r="D38" s="209">
        <v>190</v>
      </c>
      <c r="E38" s="238" t="s">
        <v>46</v>
      </c>
      <c r="F38" s="263">
        <v>111.11111111111111</v>
      </c>
      <c r="G38" s="263">
        <v>16.921160927008881</v>
      </c>
      <c r="H38" s="264" t="s">
        <v>257</v>
      </c>
      <c r="I38" s="177">
        <v>334.88639999999998</v>
      </c>
      <c r="J38" s="97">
        <v>2</v>
      </c>
      <c r="K38" s="265">
        <v>1.4400000000000002</v>
      </c>
      <c r="L38" s="126">
        <v>0.27360000000000001</v>
      </c>
      <c r="M38" s="127">
        <v>24</v>
      </c>
      <c r="N38" s="126">
        <v>6.5663999999999998</v>
      </c>
      <c r="O38" s="227">
        <v>72.230400000000003</v>
      </c>
      <c r="P38" s="266"/>
      <c r="Q38" s="88">
        <f t="shared" si="0"/>
        <v>1108.9008000000001</v>
      </c>
      <c r="R38" s="657">
        <f t="shared" si="3"/>
        <v>4053</v>
      </c>
      <c r="S38" s="315">
        <v>705.53649999999982</v>
      </c>
      <c r="U38" s="4"/>
      <c r="V38" s="82"/>
      <c r="W38" s="82"/>
      <c r="X38" s="2"/>
    </row>
    <row r="39" spans="1:24" ht="20.100000000000001" customHeight="1" thickBot="1" x14ac:dyDescent="0.3">
      <c r="A39" s="1247"/>
      <c r="B39" s="240">
        <v>1200</v>
      </c>
      <c r="C39" s="241">
        <v>600</v>
      </c>
      <c r="D39" s="242">
        <v>200</v>
      </c>
      <c r="E39" s="238" t="s">
        <v>46</v>
      </c>
      <c r="F39" s="289">
        <v>111.11111111111111</v>
      </c>
      <c r="G39" s="289">
        <v>16.075102880658438</v>
      </c>
      <c r="H39" s="317" t="s">
        <v>258</v>
      </c>
      <c r="I39" s="445">
        <v>352.51199999999994</v>
      </c>
      <c r="J39" s="306">
        <v>2</v>
      </c>
      <c r="K39" s="307">
        <v>1.44</v>
      </c>
      <c r="L39" s="129">
        <v>0.28799999999999998</v>
      </c>
      <c r="M39" s="130">
        <v>24</v>
      </c>
      <c r="N39" s="129">
        <v>6.911999999999999</v>
      </c>
      <c r="O39" s="260">
        <v>76.031999999999982</v>
      </c>
      <c r="P39" s="308"/>
      <c r="Q39" s="479">
        <f t="shared" si="0"/>
        <v>1167.2639999999999</v>
      </c>
      <c r="R39" s="657">
        <f t="shared" si="3"/>
        <v>4053</v>
      </c>
      <c r="S39" s="318">
        <v>742.66999999999973</v>
      </c>
      <c r="U39" s="4"/>
      <c r="V39" s="82"/>
      <c r="W39" s="82"/>
      <c r="X39" s="2"/>
    </row>
    <row r="40" spans="1:24" ht="20.100000000000001" customHeight="1" thickBot="1" x14ac:dyDescent="0.3">
      <c r="A40" s="35" t="s">
        <v>12</v>
      </c>
      <c r="B40" s="252">
        <v>1200</v>
      </c>
      <c r="C40" s="250">
        <v>600</v>
      </c>
      <c r="D40" s="251">
        <v>50</v>
      </c>
      <c r="E40" s="238" t="s">
        <v>46</v>
      </c>
      <c r="F40" s="319"/>
      <c r="G40" s="319">
        <v>0</v>
      </c>
      <c r="H40" s="310" t="s">
        <v>164</v>
      </c>
      <c r="I40" s="178"/>
      <c r="J40" s="311">
        <v>6</v>
      </c>
      <c r="K40" s="265">
        <v>4.32</v>
      </c>
      <c r="L40" s="132">
        <v>0.216</v>
      </c>
      <c r="M40" s="133">
        <v>32</v>
      </c>
      <c r="N40" s="228">
        <v>6.9119999999999999</v>
      </c>
      <c r="O40" s="226">
        <v>76.031999999999996</v>
      </c>
      <c r="P40" s="321"/>
      <c r="Q40" s="88">
        <f>L40*R40</f>
        <v>966.16800000000001</v>
      </c>
      <c r="R40" s="656">
        <v>4473</v>
      </c>
      <c r="S40" s="286">
        <v>203.60749999999996</v>
      </c>
      <c r="U40" s="4"/>
      <c r="V40" s="82"/>
      <c r="X40" s="2"/>
    </row>
    <row r="41" spans="1:24" ht="20.100000000000001" customHeight="1" thickBot="1" x14ac:dyDescent="0.3">
      <c r="A41" s="1246" t="s">
        <v>27</v>
      </c>
      <c r="B41" s="203">
        <v>1200</v>
      </c>
      <c r="C41" s="204">
        <v>600</v>
      </c>
      <c r="D41" s="209">
        <v>60</v>
      </c>
      <c r="E41" s="238" t="s">
        <v>46</v>
      </c>
      <c r="F41" s="263">
        <v>100</v>
      </c>
      <c r="G41" s="263">
        <v>14.467592592592593</v>
      </c>
      <c r="H41" s="264" t="s">
        <v>165</v>
      </c>
      <c r="I41" s="177">
        <v>311.03999999999996</v>
      </c>
      <c r="J41" s="97">
        <v>5</v>
      </c>
      <c r="K41" s="265">
        <v>3.6</v>
      </c>
      <c r="L41" s="126">
        <v>0.216</v>
      </c>
      <c r="M41" s="97">
        <v>32</v>
      </c>
      <c r="N41" s="166">
        <v>6.9119999999999999</v>
      </c>
      <c r="O41" s="227">
        <v>76.031999999999996</v>
      </c>
      <c r="P41" s="266"/>
      <c r="Q41" s="88">
        <f t="shared" si="0"/>
        <v>966.16800000000001</v>
      </c>
      <c r="R41" s="657">
        <f>R40</f>
        <v>4473</v>
      </c>
      <c r="S41" s="276">
        <v>244.32899999999998</v>
      </c>
      <c r="U41" s="4"/>
      <c r="V41" s="82"/>
      <c r="W41" s="82"/>
      <c r="X41" s="2"/>
    </row>
    <row r="42" spans="1:24" ht="20.100000000000001" customHeight="1" thickBot="1" x14ac:dyDescent="0.3">
      <c r="A42" s="1246"/>
      <c r="B42" s="203">
        <v>1200</v>
      </c>
      <c r="C42" s="204">
        <v>600</v>
      </c>
      <c r="D42" s="209">
        <v>70</v>
      </c>
      <c r="E42" s="238" t="s">
        <v>46</v>
      </c>
      <c r="F42" s="263">
        <v>100</v>
      </c>
      <c r="G42" s="263">
        <v>15.500992063492063</v>
      </c>
      <c r="H42" s="264" t="s">
        <v>166</v>
      </c>
      <c r="I42" s="177">
        <v>309.6576</v>
      </c>
      <c r="J42" s="97">
        <v>4</v>
      </c>
      <c r="K42" s="265">
        <v>2.8800000000000003</v>
      </c>
      <c r="L42" s="126">
        <v>0.2016</v>
      </c>
      <c r="M42" s="97">
        <v>32</v>
      </c>
      <c r="N42" s="325">
        <v>6.4512</v>
      </c>
      <c r="O42" s="227">
        <v>70.963200000000001</v>
      </c>
      <c r="P42" s="266"/>
      <c r="Q42" s="88">
        <f t="shared" si="0"/>
        <v>901.7568</v>
      </c>
      <c r="R42" s="657">
        <f t="shared" ref="R42:R55" si="4">R41</f>
        <v>4473</v>
      </c>
      <c r="S42" s="267">
        <v>285.0505</v>
      </c>
      <c r="U42" s="4"/>
      <c r="V42" s="82"/>
      <c r="W42" s="82"/>
      <c r="X42" s="2"/>
    </row>
    <row r="43" spans="1:24" ht="20.100000000000001" customHeight="1" thickBot="1" x14ac:dyDescent="0.3">
      <c r="A43" s="1246"/>
      <c r="B43" s="12">
        <v>1200</v>
      </c>
      <c r="C43" s="13">
        <v>600</v>
      </c>
      <c r="D43" s="14">
        <v>80</v>
      </c>
      <c r="E43" s="61" t="s">
        <v>46</v>
      </c>
      <c r="F43" s="107">
        <v>100</v>
      </c>
      <c r="G43" s="116">
        <v>14.467592592592592</v>
      </c>
      <c r="H43" s="219" t="s">
        <v>167</v>
      </c>
      <c r="I43" s="177">
        <v>331.77600000000007</v>
      </c>
      <c r="J43" s="47">
        <v>3</v>
      </c>
      <c r="K43" s="188">
        <v>2.16</v>
      </c>
      <c r="L43" s="182">
        <v>0.17280000000000001</v>
      </c>
      <c r="M43" s="95">
        <v>40</v>
      </c>
      <c r="N43" s="182">
        <v>6.9120000000000008</v>
      </c>
      <c r="O43" s="192">
        <v>76.032000000000011</v>
      </c>
      <c r="P43" s="48"/>
      <c r="Q43" s="88">
        <f t="shared" si="0"/>
        <v>772.9344000000001</v>
      </c>
      <c r="R43" s="657">
        <f t="shared" si="4"/>
        <v>4473</v>
      </c>
      <c r="S43" s="38">
        <v>325.77199999999999</v>
      </c>
      <c r="U43" s="4"/>
      <c r="V43" s="82"/>
      <c r="W43" s="82"/>
      <c r="X43" s="2"/>
    </row>
    <row r="44" spans="1:24" ht="20.100000000000001" customHeight="1" thickBot="1" x14ac:dyDescent="0.3">
      <c r="A44" s="1246"/>
      <c r="B44" s="12">
        <v>1200</v>
      </c>
      <c r="C44" s="13">
        <v>600</v>
      </c>
      <c r="D44" s="14">
        <v>90</v>
      </c>
      <c r="E44" s="61" t="s">
        <v>46</v>
      </c>
      <c r="F44" s="107">
        <v>100</v>
      </c>
      <c r="G44" s="116">
        <v>14.288980338363055</v>
      </c>
      <c r="H44" s="219" t="s">
        <v>168</v>
      </c>
      <c r="I44" s="177">
        <v>335.92319999999995</v>
      </c>
      <c r="J44" s="47">
        <v>3</v>
      </c>
      <c r="K44" s="188">
        <v>2.16</v>
      </c>
      <c r="L44" s="182">
        <v>0.19439999999999999</v>
      </c>
      <c r="M44" s="95">
        <v>36</v>
      </c>
      <c r="N44" s="182">
        <v>6.9983999999999993</v>
      </c>
      <c r="O44" s="192">
        <v>76.982399999999998</v>
      </c>
      <c r="P44" s="48"/>
      <c r="Q44" s="88">
        <f t="shared" si="0"/>
        <v>869.55119999999999</v>
      </c>
      <c r="R44" s="657">
        <f t="shared" si="4"/>
        <v>4473</v>
      </c>
      <c r="S44" s="104">
        <v>366.49349999999993</v>
      </c>
      <c r="U44" s="4"/>
      <c r="V44" s="82"/>
      <c r="W44" s="82"/>
      <c r="X44" s="2"/>
    </row>
    <row r="45" spans="1:24" ht="20.100000000000001" customHeight="1" thickBot="1" x14ac:dyDescent="0.3">
      <c r="A45" s="1246"/>
      <c r="B45" s="203">
        <v>1200</v>
      </c>
      <c r="C45" s="204">
        <v>600</v>
      </c>
      <c r="D45" s="209">
        <v>100</v>
      </c>
      <c r="E45" s="238" t="s">
        <v>46</v>
      </c>
      <c r="F45" s="263"/>
      <c r="G45" s="263">
        <v>0</v>
      </c>
      <c r="H45" s="264" t="s">
        <v>169</v>
      </c>
      <c r="I45" s="177"/>
      <c r="J45" s="97">
        <v>3</v>
      </c>
      <c r="K45" s="265">
        <v>2.16</v>
      </c>
      <c r="L45" s="126">
        <v>0.216</v>
      </c>
      <c r="M45" s="127">
        <v>32</v>
      </c>
      <c r="N45" s="126">
        <v>6.9119999999999999</v>
      </c>
      <c r="O45" s="227">
        <v>76.031999999999996</v>
      </c>
      <c r="P45" s="266"/>
      <c r="Q45" s="88">
        <f t="shared" si="0"/>
        <v>966.16800000000001</v>
      </c>
      <c r="R45" s="657">
        <f t="shared" si="4"/>
        <v>4473</v>
      </c>
      <c r="S45" s="267">
        <v>407.21499999999992</v>
      </c>
      <c r="U45" s="4"/>
      <c r="V45" s="82"/>
      <c r="X45" s="2"/>
    </row>
    <row r="46" spans="1:24" ht="20.100000000000001" customHeight="1" thickBot="1" x14ac:dyDescent="0.3">
      <c r="A46" s="1246"/>
      <c r="B46" s="12">
        <v>1200</v>
      </c>
      <c r="C46" s="13">
        <v>600</v>
      </c>
      <c r="D46" s="14">
        <v>110</v>
      </c>
      <c r="E46" s="61" t="s">
        <v>46</v>
      </c>
      <c r="F46" s="107">
        <v>100</v>
      </c>
      <c r="G46" s="116">
        <v>15.782828282828282</v>
      </c>
      <c r="H46" s="219" t="s">
        <v>170</v>
      </c>
      <c r="I46" s="177">
        <v>304.12800000000004</v>
      </c>
      <c r="J46" s="47">
        <v>2</v>
      </c>
      <c r="K46" s="188">
        <v>1.4400000000000002</v>
      </c>
      <c r="L46" s="182">
        <v>0.15840000000000001</v>
      </c>
      <c r="M46" s="95">
        <v>40</v>
      </c>
      <c r="N46" s="182">
        <v>6.3360000000000003</v>
      </c>
      <c r="O46" s="192">
        <v>69.695999999999998</v>
      </c>
      <c r="P46" s="48"/>
      <c r="Q46" s="88">
        <f t="shared" si="0"/>
        <v>708.52320000000009</v>
      </c>
      <c r="R46" s="657">
        <f t="shared" si="4"/>
        <v>4473</v>
      </c>
      <c r="S46" s="104">
        <v>447.93649999999997</v>
      </c>
      <c r="U46" s="4"/>
      <c r="V46" s="82"/>
      <c r="W46" s="82"/>
      <c r="X46" s="2"/>
    </row>
    <row r="47" spans="1:24" ht="20.100000000000001" customHeight="1" thickBot="1" x14ac:dyDescent="0.3">
      <c r="A47" s="1246"/>
      <c r="B47" s="12">
        <v>1200</v>
      </c>
      <c r="C47" s="13">
        <v>600</v>
      </c>
      <c r="D47" s="14">
        <v>120</v>
      </c>
      <c r="E47" s="61" t="s">
        <v>46</v>
      </c>
      <c r="F47" s="107">
        <v>100</v>
      </c>
      <c r="G47" s="116">
        <v>14.467592592592592</v>
      </c>
      <c r="H47" s="219" t="s">
        <v>247</v>
      </c>
      <c r="I47" s="177">
        <v>331.77600000000007</v>
      </c>
      <c r="J47" s="47">
        <v>2</v>
      </c>
      <c r="K47" s="188">
        <v>1.4400000000000002</v>
      </c>
      <c r="L47" s="182">
        <v>0.17280000000000001</v>
      </c>
      <c r="M47" s="95">
        <v>40</v>
      </c>
      <c r="N47" s="182">
        <v>6.9120000000000008</v>
      </c>
      <c r="O47" s="192">
        <v>76.032000000000011</v>
      </c>
      <c r="P47" s="48"/>
      <c r="Q47" s="88">
        <f t="shared" si="0"/>
        <v>772.9344000000001</v>
      </c>
      <c r="R47" s="657">
        <f t="shared" si="4"/>
        <v>4473</v>
      </c>
      <c r="S47" s="105">
        <v>488.65799999999996</v>
      </c>
      <c r="U47" s="4"/>
      <c r="V47" s="82"/>
      <c r="W47" s="82"/>
      <c r="X47" s="2"/>
    </row>
    <row r="48" spans="1:24" ht="20.100000000000001" customHeight="1" thickBot="1" x14ac:dyDescent="0.3">
      <c r="A48" s="1246"/>
      <c r="B48" s="12">
        <v>1200</v>
      </c>
      <c r="C48" s="13">
        <v>600</v>
      </c>
      <c r="D48" s="14">
        <v>130</v>
      </c>
      <c r="E48" s="61" t="s">
        <v>46</v>
      </c>
      <c r="F48" s="107">
        <v>100</v>
      </c>
      <c r="G48" s="116">
        <v>14.83855650522317</v>
      </c>
      <c r="H48" s="219" t="s">
        <v>171</v>
      </c>
      <c r="I48" s="177">
        <v>323.48160000000001</v>
      </c>
      <c r="J48" s="47">
        <v>2</v>
      </c>
      <c r="K48" s="188">
        <v>1.4400000000000002</v>
      </c>
      <c r="L48" s="182">
        <v>0.18720000000000001</v>
      </c>
      <c r="M48" s="95">
        <v>36</v>
      </c>
      <c r="N48" s="182">
        <v>6.7392000000000003</v>
      </c>
      <c r="O48" s="192">
        <v>74.131200000000007</v>
      </c>
      <c r="P48" s="48"/>
      <c r="Q48" s="88">
        <f t="shared" si="0"/>
        <v>837.34559999999999</v>
      </c>
      <c r="R48" s="657">
        <f t="shared" si="4"/>
        <v>4473</v>
      </c>
      <c r="S48" s="103">
        <v>529.37950000000001</v>
      </c>
      <c r="U48" s="4"/>
      <c r="V48" s="82"/>
      <c r="W48" s="82"/>
      <c r="X48" s="2"/>
    </row>
    <row r="49" spans="1:24" ht="20.100000000000001" customHeight="1" thickBot="1" x14ac:dyDescent="0.3">
      <c r="A49" s="1246"/>
      <c r="B49" s="12">
        <v>1200</v>
      </c>
      <c r="C49" s="13">
        <v>600</v>
      </c>
      <c r="D49" s="14">
        <v>140</v>
      </c>
      <c r="E49" s="61" t="s">
        <v>46</v>
      </c>
      <c r="F49" s="107">
        <v>100</v>
      </c>
      <c r="G49" s="116">
        <v>15.500992063492063</v>
      </c>
      <c r="H49" s="219" t="s">
        <v>172</v>
      </c>
      <c r="I49" s="177">
        <v>309.6576</v>
      </c>
      <c r="J49" s="47">
        <v>2</v>
      </c>
      <c r="K49" s="188">
        <v>1.4400000000000002</v>
      </c>
      <c r="L49" s="182">
        <v>0.2016</v>
      </c>
      <c r="M49" s="95">
        <v>32</v>
      </c>
      <c r="N49" s="182">
        <v>6.4512</v>
      </c>
      <c r="O49" s="192">
        <v>70.963200000000001</v>
      </c>
      <c r="P49" s="48"/>
      <c r="Q49" s="88">
        <f t="shared" si="0"/>
        <v>901.7568</v>
      </c>
      <c r="R49" s="657">
        <f t="shared" si="4"/>
        <v>4473</v>
      </c>
      <c r="S49" s="38">
        <v>570.101</v>
      </c>
      <c r="U49" s="4"/>
      <c r="V49" s="82"/>
      <c r="W49" s="82"/>
      <c r="X49" s="2"/>
    </row>
    <row r="50" spans="1:24" ht="20.100000000000001" customHeight="1" thickBot="1" x14ac:dyDescent="0.3">
      <c r="A50" s="1246"/>
      <c r="B50" s="12">
        <v>1200</v>
      </c>
      <c r="C50" s="13">
        <v>600</v>
      </c>
      <c r="D50" s="14">
        <v>150</v>
      </c>
      <c r="E50" s="61" t="s">
        <v>46</v>
      </c>
      <c r="F50" s="107">
        <v>100</v>
      </c>
      <c r="G50" s="116">
        <v>14.467592592592593</v>
      </c>
      <c r="H50" s="219" t="s">
        <v>248</v>
      </c>
      <c r="I50" s="177">
        <v>331.77600000000001</v>
      </c>
      <c r="J50" s="47">
        <v>2</v>
      </c>
      <c r="K50" s="188">
        <v>1.4400000000000002</v>
      </c>
      <c r="L50" s="182">
        <v>0.216</v>
      </c>
      <c r="M50" s="95">
        <v>32</v>
      </c>
      <c r="N50" s="182">
        <v>6.9119999999999999</v>
      </c>
      <c r="O50" s="192">
        <v>76.031999999999996</v>
      </c>
      <c r="P50" s="48"/>
      <c r="Q50" s="88">
        <f t="shared" si="0"/>
        <v>966.16800000000001</v>
      </c>
      <c r="R50" s="657">
        <f t="shared" si="4"/>
        <v>4473</v>
      </c>
      <c r="S50" s="104">
        <v>610.82249999999999</v>
      </c>
      <c r="U50" s="4"/>
      <c r="V50" s="82"/>
      <c r="W50" s="82"/>
      <c r="X50" s="2"/>
    </row>
    <row r="51" spans="1:24" ht="20.100000000000001" customHeight="1" thickBot="1" x14ac:dyDescent="0.3">
      <c r="A51" s="1246"/>
      <c r="B51" s="12">
        <v>1200</v>
      </c>
      <c r="C51" s="13">
        <v>600</v>
      </c>
      <c r="D51" s="14">
        <v>160</v>
      </c>
      <c r="E51" s="61" t="s">
        <v>46</v>
      </c>
      <c r="F51" s="107">
        <v>100</v>
      </c>
      <c r="G51" s="116">
        <v>15.500992063492063</v>
      </c>
      <c r="H51" s="219" t="s">
        <v>173</v>
      </c>
      <c r="I51" s="177">
        <v>309.6576</v>
      </c>
      <c r="J51" s="47">
        <v>2</v>
      </c>
      <c r="K51" s="188">
        <v>1.44</v>
      </c>
      <c r="L51" s="182">
        <v>0.23039999999999999</v>
      </c>
      <c r="M51" s="95">
        <v>28</v>
      </c>
      <c r="N51" s="182">
        <v>6.4512</v>
      </c>
      <c r="O51" s="192">
        <v>70.963200000000001</v>
      </c>
      <c r="P51" s="48"/>
      <c r="Q51" s="88">
        <f t="shared" si="0"/>
        <v>1030.5791999999999</v>
      </c>
      <c r="R51" s="657">
        <f t="shared" si="4"/>
        <v>4473</v>
      </c>
      <c r="S51" s="105">
        <v>651.54399999999998</v>
      </c>
      <c r="U51" s="4"/>
      <c r="V51" s="82"/>
      <c r="W51" s="82"/>
      <c r="X51" s="2"/>
    </row>
    <row r="52" spans="1:24" ht="20.100000000000001" customHeight="1" thickBot="1" x14ac:dyDescent="0.3">
      <c r="A52" s="1246"/>
      <c r="B52" s="203">
        <v>1200</v>
      </c>
      <c r="C52" s="204">
        <v>600</v>
      </c>
      <c r="D52" s="209">
        <v>170</v>
      </c>
      <c r="E52" s="238" t="s">
        <v>46</v>
      </c>
      <c r="F52" s="263">
        <v>100</v>
      </c>
      <c r="G52" s="263">
        <v>14.589169000933706</v>
      </c>
      <c r="H52" s="264" t="s">
        <v>174</v>
      </c>
      <c r="I52" s="177">
        <v>329.01120000000003</v>
      </c>
      <c r="J52" s="97">
        <v>2</v>
      </c>
      <c r="K52" s="265">
        <v>1.44</v>
      </c>
      <c r="L52" s="126">
        <v>0.24479999999999999</v>
      </c>
      <c r="M52" s="127">
        <v>28</v>
      </c>
      <c r="N52" s="126">
        <v>6.8544</v>
      </c>
      <c r="O52" s="227">
        <v>75.398399999999995</v>
      </c>
      <c r="P52" s="266"/>
      <c r="Q52" s="88">
        <f t="shared" si="0"/>
        <v>1094.9903999999999</v>
      </c>
      <c r="R52" s="657">
        <f t="shared" si="4"/>
        <v>4473</v>
      </c>
      <c r="S52" s="267">
        <v>692.26549999999986</v>
      </c>
      <c r="U52" s="4"/>
      <c r="V52" s="82"/>
      <c r="W52" s="82"/>
      <c r="X52" s="2"/>
    </row>
    <row r="53" spans="1:24" ht="20.100000000000001" customHeight="1" thickBot="1" x14ac:dyDescent="0.3">
      <c r="A53" s="1246"/>
      <c r="B53" s="203">
        <v>1200</v>
      </c>
      <c r="C53" s="204">
        <v>600</v>
      </c>
      <c r="D53" s="209">
        <v>180</v>
      </c>
      <c r="E53" s="238" t="s">
        <v>46</v>
      </c>
      <c r="F53" s="263">
        <v>100</v>
      </c>
      <c r="G53" s="263">
        <v>16.075102880658438</v>
      </c>
      <c r="H53" s="264" t="s">
        <v>175</v>
      </c>
      <c r="I53" s="177">
        <v>298.59839999999997</v>
      </c>
      <c r="J53" s="97">
        <v>2</v>
      </c>
      <c r="K53" s="265">
        <v>1.44</v>
      </c>
      <c r="L53" s="126">
        <v>0.25919999999999999</v>
      </c>
      <c r="M53" s="127">
        <v>24</v>
      </c>
      <c r="N53" s="126">
        <v>6.2207999999999997</v>
      </c>
      <c r="O53" s="227">
        <v>68.428799999999995</v>
      </c>
      <c r="P53" s="266"/>
      <c r="Q53" s="88">
        <f t="shared" si="0"/>
        <v>1159.4015999999999</v>
      </c>
      <c r="R53" s="657">
        <f t="shared" si="4"/>
        <v>4473</v>
      </c>
      <c r="S53" s="314">
        <v>732.98699999999985</v>
      </c>
      <c r="U53" s="4"/>
      <c r="V53" s="82"/>
      <c r="W53" s="82"/>
      <c r="X53" s="2"/>
    </row>
    <row r="54" spans="1:24" ht="20.100000000000001" customHeight="1" thickBot="1" x14ac:dyDescent="0.3">
      <c r="A54" s="1246"/>
      <c r="B54" s="203">
        <v>1200</v>
      </c>
      <c r="C54" s="204">
        <v>600</v>
      </c>
      <c r="D54" s="209">
        <v>190</v>
      </c>
      <c r="E54" s="238" t="s">
        <v>46</v>
      </c>
      <c r="F54" s="263">
        <v>100</v>
      </c>
      <c r="G54" s="263">
        <v>15.229044834307993</v>
      </c>
      <c r="H54" s="264" t="s">
        <v>176</v>
      </c>
      <c r="I54" s="177">
        <v>315.18719999999996</v>
      </c>
      <c r="J54" s="97">
        <v>2</v>
      </c>
      <c r="K54" s="265">
        <v>1.4400000000000002</v>
      </c>
      <c r="L54" s="126">
        <v>0.27360000000000001</v>
      </c>
      <c r="M54" s="127">
        <v>24</v>
      </c>
      <c r="N54" s="126">
        <v>6.5663999999999998</v>
      </c>
      <c r="O54" s="227">
        <v>72.230400000000003</v>
      </c>
      <c r="P54" s="266"/>
      <c r="Q54" s="88">
        <f t="shared" si="0"/>
        <v>1223.8128000000002</v>
      </c>
      <c r="R54" s="657">
        <f t="shared" si="4"/>
        <v>4473</v>
      </c>
      <c r="S54" s="315">
        <v>773.70849999999984</v>
      </c>
      <c r="U54" s="4"/>
      <c r="V54" s="82"/>
      <c r="W54" s="82"/>
      <c r="X54" s="2"/>
    </row>
    <row r="55" spans="1:24" ht="20.100000000000001" customHeight="1" thickBot="1" x14ac:dyDescent="0.3">
      <c r="A55" s="1247"/>
      <c r="B55" s="240">
        <v>1200</v>
      </c>
      <c r="C55" s="241">
        <v>600</v>
      </c>
      <c r="D55" s="242">
        <v>200</v>
      </c>
      <c r="E55" s="238" t="s">
        <v>46</v>
      </c>
      <c r="F55" s="316">
        <v>100</v>
      </c>
      <c r="G55" s="289">
        <v>14.467592592592595</v>
      </c>
      <c r="H55" s="317" t="s">
        <v>177</v>
      </c>
      <c r="I55" s="445">
        <v>331.77599999999995</v>
      </c>
      <c r="J55" s="306">
        <v>1</v>
      </c>
      <c r="K55" s="307">
        <v>0.72</v>
      </c>
      <c r="L55" s="129">
        <v>0.14399999999999999</v>
      </c>
      <c r="M55" s="130">
        <v>48</v>
      </c>
      <c r="N55" s="129">
        <v>6.911999999999999</v>
      </c>
      <c r="O55" s="260">
        <v>76.031999999999982</v>
      </c>
      <c r="P55" s="308"/>
      <c r="Q55" s="479">
        <f t="shared" si="0"/>
        <v>644.11199999999997</v>
      </c>
      <c r="R55" s="657">
        <f t="shared" si="4"/>
        <v>4473</v>
      </c>
      <c r="S55" s="318">
        <v>814.42999999999984</v>
      </c>
      <c r="U55" s="4"/>
      <c r="V55" s="82"/>
      <c r="W55" s="82"/>
      <c r="X55" s="2"/>
    </row>
    <row r="56" spans="1:24" ht="20.100000000000001" customHeight="1" thickBot="1" x14ac:dyDescent="0.3">
      <c r="A56" s="35" t="s">
        <v>13</v>
      </c>
      <c r="B56" s="252">
        <v>1200</v>
      </c>
      <c r="C56" s="250">
        <v>600</v>
      </c>
      <c r="D56" s="251">
        <v>50</v>
      </c>
      <c r="E56" s="238" t="s">
        <v>239</v>
      </c>
      <c r="F56" s="319"/>
      <c r="G56" s="319">
        <v>0</v>
      </c>
      <c r="H56" s="310" t="s">
        <v>700</v>
      </c>
      <c r="I56" s="178"/>
      <c r="J56" s="311">
        <v>6</v>
      </c>
      <c r="K56" s="265">
        <v>4.32</v>
      </c>
      <c r="L56" s="132">
        <v>0.216</v>
      </c>
      <c r="M56" s="320">
        <v>32</v>
      </c>
      <c r="N56" s="132">
        <v>6.9119999999999999</v>
      </c>
      <c r="O56" s="226">
        <v>76.031999999999996</v>
      </c>
      <c r="P56" s="321"/>
      <c r="Q56" s="88">
        <f>L56*R56</f>
        <v>1288.6559999999999</v>
      </c>
      <c r="R56" s="656">
        <v>5966</v>
      </c>
      <c r="S56" s="286">
        <v>203.60749999999996</v>
      </c>
      <c r="U56" s="4"/>
      <c r="V56" s="82"/>
      <c r="X56" s="2"/>
    </row>
    <row r="57" spans="1:24" ht="20.100000000000001" customHeight="1" thickBot="1" x14ac:dyDescent="0.3">
      <c r="A57" s="1246" t="s">
        <v>30</v>
      </c>
      <c r="B57" s="203">
        <v>1200</v>
      </c>
      <c r="C57" s="204">
        <v>600</v>
      </c>
      <c r="D57" s="209">
        <v>60</v>
      </c>
      <c r="E57" s="238" t="s">
        <v>46</v>
      </c>
      <c r="F57" s="263">
        <v>71.428571428571431</v>
      </c>
      <c r="G57" s="263">
        <v>10.333994708994709</v>
      </c>
      <c r="H57" s="264" t="s">
        <v>154</v>
      </c>
      <c r="I57" s="177">
        <v>228.09600000000003</v>
      </c>
      <c r="J57" s="97">
        <v>4</v>
      </c>
      <c r="K57" s="265">
        <v>2.8800000000000003</v>
      </c>
      <c r="L57" s="126">
        <v>0.17280000000000001</v>
      </c>
      <c r="M57" s="97">
        <v>40</v>
      </c>
      <c r="N57" s="126">
        <v>6.9120000000000008</v>
      </c>
      <c r="O57" s="227">
        <v>76.032000000000011</v>
      </c>
      <c r="P57" s="266"/>
      <c r="Q57" s="88">
        <f t="shared" si="0"/>
        <v>1030.9248</v>
      </c>
      <c r="R57" s="657">
        <f>R56</f>
        <v>5966</v>
      </c>
      <c r="S57" s="276">
        <v>244.32899999999998</v>
      </c>
      <c r="U57" s="4"/>
      <c r="V57" s="82"/>
      <c r="X57" s="2"/>
    </row>
    <row r="58" spans="1:24" ht="20.100000000000001" customHeight="1" thickBot="1" x14ac:dyDescent="0.3">
      <c r="A58" s="1246"/>
      <c r="B58" s="203">
        <v>1200</v>
      </c>
      <c r="C58" s="204">
        <v>600</v>
      </c>
      <c r="D58" s="209">
        <v>70</v>
      </c>
      <c r="E58" s="238" t="s">
        <v>46</v>
      </c>
      <c r="F58" s="263">
        <v>71.428571428571431</v>
      </c>
      <c r="G58" s="263">
        <v>10.736617879475023</v>
      </c>
      <c r="H58" s="264" t="s">
        <v>155</v>
      </c>
      <c r="I58" s="177">
        <v>219.54240000000001</v>
      </c>
      <c r="J58" s="97">
        <v>3</v>
      </c>
      <c r="K58" s="265">
        <v>2.16</v>
      </c>
      <c r="L58" s="126">
        <v>0.1512</v>
      </c>
      <c r="M58" s="97">
        <v>44</v>
      </c>
      <c r="N58" s="126">
        <v>6.6528</v>
      </c>
      <c r="O58" s="227">
        <v>73.180800000000005</v>
      </c>
      <c r="P58" s="266"/>
      <c r="Q58" s="88">
        <f t="shared" si="0"/>
        <v>902.05920000000003</v>
      </c>
      <c r="R58" s="657">
        <f t="shared" ref="R58:R66" si="5">R57</f>
        <v>5966</v>
      </c>
      <c r="S58" s="267">
        <v>285.0505</v>
      </c>
      <c r="U58" s="4"/>
      <c r="V58" s="82"/>
      <c r="X58" s="2"/>
    </row>
    <row r="59" spans="1:24" ht="20.100000000000001" customHeight="1" thickBot="1" x14ac:dyDescent="0.3">
      <c r="A59" s="1246"/>
      <c r="B59" s="203">
        <v>1200</v>
      </c>
      <c r="C59" s="204">
        <v>600</v>
      </c>
      <c r="D59" s="209">
        <v>80</v>
      </c>
      <c r="E59" s="238" t="s">
        <v>46</v>
      </c>
      <c r="F59" s="263"/>
      <c r="G59" s="263">
        <v>0</v>
      </c>
      <c r="H59" s="264" t="s">
        <v>156</v>
      </c>
      <c r="I59" s="177"/>
      <c r="J59" s="274">
        <v>3</v>
      </c>
      <c r="K59" s="265">
        <v>2.16</v>
      </c>
      <c r="L59" s="126">
        <v>0.17280000000000001</v>
      </c>
      <c r="M59" s="97">
        <v>40</v>
      </c>
      <c r="N59" s="126">
        <v>6.9120000000000008</v>
      </c>
      <c r="O59" s="227">
        <v>76.032000000000011</v>
      </c>
      <c r="P59" s="266"/>
      <c r="Q59" s="88">
        <f t="shared" si="0"/>
        <v>1030.9248</v>
      </c>
      <c r="R59" s="657">
        <f t="shared" si="5"/>
        <v>5966</v>
      </c>
      <c r="S59" s="38">
        <v>325.77199999999999</v>
      </c>
      <c r="U59" s="4"/>
      <c r="V59" s="82"/>
      <c r="X59" s="2"/>
    </row>
    <row r="60" spans="1:24" ht="20.100000000000001" customHeight="1" thickBot="1" x14ac:dyDescent="0.3">
      <c r="A60" s="1246"/>
      <c r="B60" s="203">
        <v>1200</v>
      </c>
      <c r="C60" s="204">
        <v>600</v>
      </c>
      <c r="D60" s="209">
        <v>90</v>
      </c>
      <c r="E60" s="238" t="s">
        <v>46</v>
      </c>
      <c r="F60" s="263">
        <v>71.428571428571431</v>
      </c>
      <c r="G60" s="263">
        <v>11.482216343327455</v>
      </c>
      <c r="H60" s="264" t="s">
        <v>701</v>
      </c>
      <c r="I60" s="177"/>
      <c r="J60" s="274">
        <v>2</v>
      </c>
      <c r="K60" s="322">
        <v>1.44</v>
      </c>
      <c r="L60" s="126">
        <v>0.12959999999999999</v>
      </c>
      <c r="M60" s="97">
        <v>52</v>
      </c>
      <c r="N60" s="126">
        <v>6.7392000000000003</v>
      </c>
      <c r="O60" s="227">
        <v>74.131200000000007</v>
      </c>
      <c r="P60" s="266"/>
      <c r="Q60" s="88">
        <f t="shared" si="0"/>
        <v>773.19359999999995</v>
      </c>
      <c r="R60" s="657">
        <f t="shared" si="5"/>
        <v>5966</v>
      </c>
      <c r="S60" s="104">
        <v>366.49349999999993</v>
      </c>
      <c r="U60" s="4"/>
      <c r="V60" s="82"/>
      <c r="W60" s="82"/>
      <c r="X60" s="2"/>
    </row>
    <row r="61" spans="1:24" ht="19.5" customHeight="1" thickBot="1" x14ac:dyDescent="0.3">
      <c r="A61" s="1246"/>
      <c r="B61" s="203">
        <v>1200</v>
      </c>
      <c r="C61" s="204">
        <v>600</v>
      </c>
      <c r="D61" s="209">
        <v>100</v>
      </c>
      <c r="E61" s="238" t="s">
        <v>46</v>
      </c>
      <c r="F61" s="263"/>
      <c r="G61" s="263">
        <v>0</v>
      </c>
      <c r="H61" s="264" t="s">
        <v>157</v>
      </c>
      <c r="I61" s="177"/>
      <c r="J61" s="97">
        <v>3</v>
      </c>
      <c r="K61" s="265">
        <v>2.16</v>
      </c>
      <c r="L61" s="126">
        <v>0.216</v>
      </c>
      <c r="M61" s="97">
        <v>32</v>
      </c>
      <c r="N61" s="126">
        <v>6.9119999999999999</v>
      </c>
      <c r="O61" s="227">
        <v>76.031999999999996</v>
      </c>
      <c r="P61" s="266"/>
      <c r="Q61" s="88">
        <f t="shared" si="0"/>
        <v>1288.6559999999999</v>
      </c>
      <c r="R61" s="657">
        <f>R60</f>
        <v>5966</v>
      </c>
      <c r="S61" s="267">
        <v>407.21499999999992</v>
      </c>
      <c r="U61" s="4"/>
      <c r="V61" s="82"/>
      <c r="X61" s="2"/>
    </row>
    <row r="62" spans="1:24" ht="20.100000000000001" customHeight="1" thickBot="1" x14ac:dyDescent="0.3">
      <c r="A62" s="1246"/>
      <c r="B62" s="203">
        <v>1200</v>
      </c>
      <c r="C62" s="204">
        <v>600</v>
      </c>
      <c r="D62" s="209">
        <v>110</v>
      </c>
      <c r="E62" s="238" t="s">
        <v>46</v>
      </c>
      <c r="F62" s="263">
        <v>74.074074074074076</v>
      </c>
      <c r="G62" s="263">
        <v>11.690983913206136</v>
      </c>
      <c r="H62" s="264" t="s">
        <v>243</v>
      </c>
      <c r="I62" s="177">
        <v>228.09600000000003</v>
      </c>
      <c r="J62" s="97">
        <v>2</v>
      </c>
      <c r="K62" s="265">
        <v>1.4400000000000002</v>
      </c>
      <c r="L62" s="126">
        <v>0.15840000000000001</v>
      </c>
      <c r="M62" s="97">
        <v>40</v>
      </c>
      <c r="N62" s="126">
        <v>6.3360000000000003</v>
      </c>
      <c r="O62" s="227">
        <v>69.695999999999998</v>
      </c>
      <c r="P62" s="266"/>
      <c r="Q62" s="88">
        <f t="shared" si="0"/>
        <v>945.01440000000002</v>
      </c>
      <c r="R62" s="657">
        <f t="shared" si="5"/>
        <v>5966</v>
      </c>
      <c r="S62" s="104">
        <v>447.93649999999997</v>
      </c>
      <c r="U62" s="4"/>
      <c r="V62" s="82"/>
      <c r="W62" s="82"/>
      <c r="X62" s="2"/>
    </row>
    <row r="63" spans="1:24" ht="20.100000000000001" customHeight="1" thickBot="1" x14ac:dyDescent="0.3">
      <c r="A63" s="1246"/>
      <c r="B63" s="203">
        <v>1200</v>
      </c>
      <c r="C63" s="204">
        <v>600</v>
      </c>
      <c r="D63" s="209">
        <v>120</v>
      </c>
      <c r="E63" s="238" t="s">
        <v>46</v>
      </c>
      <c r="F63" s="263"/>
      <c r="G63" s="263">
        <v>0</v>
      </c>
      <c r="H63" s="264" t="s">
        <v>158</v>
      </c>
      <c r="I63" s="177">
        <v>248.83200000000005</v>
      </c>
      <c r="J63" s="97">
        <v>2</v>
      </c>
      <c r="K63" s="265">
        <v>1.4400000000000002</v>
      </c>
      <c r="L63" s="126">
        <v>0.17280000000000001</v>
      </c>
      <c r="M63" s="97">
        <v>40</v>
      </c>
      <c r="N63" s="126">
        <v>6.9120000000000008</v>
      </c>
      <c r="O63" s="227">
        <v>76.032000000000011</v>
      </c>
      <c r="P63" s="266"/>
      <c r="Q63" s="88">
        <f t="shared" si="0"/>
        <v>1030.9248</v>
      </c>
      <c r="R63" s="657">
        <f t="shared" si="5"/>
        <v>5966</v>
      </c>
      <c r="S63" s="104">
        <v>488.65799999999996</v>
      </c>
      <c r="U63" s="4"/>
      <c r="V63" s="82"/>
      <c r="X63" s="2"/>
    </row>
    <row r="64" spans="1:24" ht="20.100000000000001" customHeight="1" thickBot="1" x14ac:dyDescent="0.3">
      <c r="A64" s="1246"/>
      <c r="B64" s="203">
        <v>1200</v>
      </c>
      <c r="C64" s="204">
        <v>600</v>
      </c>
      <c r="D64" s="209">
        <v>130</v>
      </c>
      <c r="E64" s="238" t="s">
        <v>46</v>
      </c>
      <c r="F64" s="263">
        <v>74.074074074074076</v>
      </c>
      <c r="G64" s="263">
        <v>10.991523337202349</v>
      </c>
      <c r="H64" s="264" t="s">
        <v>159</v>
      </c>
      <c r="I64" s="177">
        <v>222.39360000000002</v>
      </c>
      <c r="J64" s="97">
        <v>2</v>
      </c>
      <c r="K64" s="265">
        <v>1.4400000000000002</v>
      </c>
      <c r="L64" s="126">
        <v>0.18720000000000001</v>
      </c>
      <c r="M64" s="97">
        <v>36</v>
      </c>
      <c r="N64" s="126">
        <v>6.7392000000000003</v>
      </c>
      <c r="O64" s="227">
        <v>74.131200000000007</v>
      </c>
      <c r="P64" s="266"/>
      <c r="Q64" s="88">
        <f t="shared" si="0"/>
        <v>1116.8352</v>
      </c>
      <c r="R64" s="657">
        <f t="shared" si="5"/>
        <v>5966</v>
      </c>
      <c r="S64" s="104">
        <v>529.37950000000001</v>
      </c>
      <c r="U64" s="4"/>
      <c r="V64" s="82"/>
      <c r="X64" s="2"/>
    </row>
    <row r="65" spans="1:24" ht="20.100000000000001" customHeight="1" thickBot="1" x14ac:dyDescent="0.3">
      <c r="A65" s="1246"/>
      <c r="B65" s="203">
        <v>1200</v>
      </c>
      <c r="C65" s="204">
        <v>600</v>
      </c>
      <c r="D65" s="209">
        <v>140</v>
      </c>
      <c r="E65" s="238" t="s">
        <v>46</v>
      </c>
      <c r="F65" s="263">
        <v>74.074074074074076</v>
      </c>
      <c r="G65" s="263">
        <v>11.482216343327455</v>
      </c>
      <c r="H65" s="264" t="s">
        <v>160</v>
      </c>
      <c r="I65" s="177">
        <v>212.8896</v>
      </c>
      <c r="J65" s="97">
        <v>2</v>
      </c>
      <c r="K65" s="265">
        <v>1.4400000000000002</v>
      </c>
      <c r="L65" s="126">
        <v>0.2016</v>
      </c>
      <c r="M65" s="97">
        <v>32</v>
      </c>
      <c r="N65" s="126">
        <v>6.4512</v>
      </c>
      <c r="O65" s="227">
        <v>70.963200000000001</v>
      </c>
      <c r="P65" s="266"/>
      <c r="Q65" s="88">
        <f t="shared" si="0"/>
        <v>1202.7456</v>
      </c>
      <c r="R65" s="657">
        <f t="shared" si="5"/>
        <v>5966</v>
      </c>
      <c r="S65" s="104">
        <v>570.101</v>
      </c>
      <c r="U65" s="4"/>
      <c r="V65" s="82"/>
      <c r="W65" s="82"/>
      <c r="X65" s="2"/>
    </row>
    <row r="66" spans="1:24" ht="20.100000000000001" customHeight="1" thickBot="1" x14ac:dyDescent="0.3">
      <c r="A66" s="1247"/>
      <c r="B66" s="240">
        <v>1200</v>
      </c>
      <c r="C66" s="241">
        <v>600</v>
      </c>
      <c r="D66" s="242">
        <v>150</v>
      </c>
      <c r="E66" s="295" t="s">
        <v>46</v>
      </c>
      <c r="F66" s="289">
        <v>74.074074074074076</v>
      </c>
      <c r="G66" s="289">
        <v>10.716735253772292</v>
      </c>
      <c r="H66" s="317" t="s">
        <v>161</v>
      </c>
      <c r="I66" s="455">
        <v>228.096</v>
      </c>
      <c r="J66" s="306">
        <v>2</v>
      </c>
      <c r="K66" s="1089">
        <v>1.4400000000000002</v>
      </c>
      <c r="L66" s="129">
        <v>0.216</v>
      </c>
      <c r="M66" s="306">
        <v>32</v>
      </c>
      <c r="N66" s="129">
        <v>6.9119999999999999</v>
      </c>
      <c r="O66" s="616">
        <v>76.031999999999996</v>
      </c>
      <c r="P66" s="308"/>
      <c r="Q66" s="614">
        <f t="shared" si="0"/>
        <v>1288.6559999999999</v>
      </c>
      <c r="R66" s="831">
        <f t="shared" si="5"/>
        <v>5966</v>
      </c>
      <c r="S66" s="1091">
        <v>610.82249999999999</v>
      </c>
      <c r="U66" s="4"/>
      <c r="V66" s="82"/>
      <c r="X66" s="2"/>
    </row>
    <row r="67" spans="1:24" ht="20.100000000000001" customHeight="1" thickBot="1" x14ac:dyDescent="0.3">
      <c r="A67" s="1088" t="s">
        <v>474</v>
      </c>
      <c r="B67" s="249">
        <v>1200</v>
      </c>
      <c r="C67" s="287">
        <v>600</v>
      </c>
      <c r="D67" s="288">
        <v>50</v>
      </c>
      <c r="E67" s="664" t="s">
        <v>46</v>
      </c>
      <c r="F67" s="319"/>
      <c r="G67" s="319">
        <v>0</v>
      </c>
      <c r="H67" s="1052" t="s">
        <v>710</v>
      </c>
      <c r="I67" s="178"/>
      <c r="J67" s="320">
        <v>6</v>
      </c>
      <c r="K67" s="265">
        <v>3.6</v>
      </c>
      <c r="L67" s="132">
        <v>0.18</v>
      </c>
      <c r="M67" s="320">
        <v>32</v>
      </c>
      <c r="N67" s="132">
        <v>6.9119999999999999</v>
      </c>
      <c r="O67" s="226">
        <v>76.031999999999996</v>
      </c>
      <c r="P67" s="612"/>
      <c r="Q67" s="88">
        <f>L67*R67</f>
        <v>966.42</v>
      </c>
      <c r="R67" s="897">
        <v>5369</v>
      </c>
      <c r="S67" s="315">
        <v>203.60749999999996</v>
      </c>
      <c r="U67" s="4"/>
      <c r="V67" s="82"/>
      <c r="X67" s="2"/>
    </row>
    <row r="68" spans="1:24" ht="20.100000000000001" customHeight="1" thickBot="1" x14ac:dyDescent="0.3">
      <c r="A68" s="767"/>
      <c r="B68" s="203">
        <v>1200</v>
      </c>
      <c r="C68" s="204">
        <v>600</v>
      </c>
      <c r="D68" s="209">
        <v>60</v>
      </c>
      <c r="E68" s="238" t="s">
        <v>46</v>
      </c>
      <c r="F68" s="263">
        <v>71.428571428571431</v>
      </c>
      <c r="G68" s="263">
        <v>10.333994708994709</v>
      </c>
      <c r="H68" s="264" t="s">
        <v>475</v>
      </c>
      <c r="I68" s="177">
        <v>228.09600000000003</v>
      </c>
      <c r="J68" s="97">
        <v>4</v>
      </c>
      <c r="K68" s="265">
        <v>2.8800000000000003</v>
      </c>
      <c r="L68" s="126">
        <v>0.17280000000000001</v>
      </c>
      <c r="M68" s="97">
        <v>40</v>
      </c>
      <c r="N68" s="126">
        <v>6.9120000000000008</v>
      </c>
      <c r="O68" s="227">
        <v>76.032000000000011</v>
      </c>
      <c r="P68" s="266"/>
      <c r="Q68" s="88">
        <f t="shared" ref="Q68:Q82" si="6">L68*R68</f>
        <v>927.7632000000001</v>
      </c>
      <c r="R68" s="657">
        <f>R67</f>
        <v>5369</v>
      </c>
      <c r="S68" s="276">
        <v>244.32899999999998</v>
      </c>
      <c r="U68" s="4"/>
      <c r="V68" s="82"/>
      <c r="X68" s="2"/>
    </row>
    <row r="69" spans="1:24" ht="20.100000000000001" customHeight="1" thickBot="1" x14ac:dyDescent="0.3">
      <c r="A69" s="767"/>
      <c r="B69" s="203">
        <v>1200</v>
      </c>
      <c r="C69" s="204">
        <v>600</v>
      </c>
      <c r="D69" s="209">
        <v>70</v>
      </c>
      <c r="E69" s="238" t="s">
        <v>46</v>
      </c>
      <c r="F69" s="263">
        <v>71.428571428571431</v>
      </c>
      <c r="G69" s="263">
        <v>10.736617879475023</v>
      </c>
      <c r="H69" s="264" t="s">
        <v>476</v>
      </c>
      <c r="I69" s="177">
        <v>219.54240000000001</v>
      </c>
      <c r="J69" s="97">
        <v>3</v>
      </c>
      <c r="K69" s="265">
        <v>2.16</v>
      </c>
      <c r="L69" s="126">
        <v>0.1512</v>
      </c>
      <c r="M69" s="97">
        <v>44</v>
      </c>
      <c r="N69" s="126">
        <v>6.6528</v>
      </c>
      <c r="O69" s="227">
        <v>73.180800000000005</v>
      </c>
      <c r="P69" s="266"/>
      <c r="Q69" s="88">
        <f t="shared" si="6"/>
        <v>811.79280000000006</v>
      </c>
      <c r="R69" s="657">
        <f t="shared" ref="R69:R82" si="7">R68</f>
        <v>5369</v>
      </c>
      <c r="S69" s="267">
        <v>285.0505</v>
      </c>
      <c r="U69" s="4"/>
      <c r="V69" s="82"/>
      <c r="X69" s="2"/>
    </row>
    <row r="70" spans="1:24" ht="20.100000000000001" customHeight="1" thickBot="1" x14ac:dyDescent="0.3">
      <c r="A70" s="767"/>
      <c r="B70" s="203">
        <v>1200</v>
      </c>
      <c r="C70" s="204">
        <v>600</v>
      </c>
      <c r="D70" s="209">
        <v>80</v>
      </c>
      <c r="E70" s="238" t="s">
        <v>46</v>
      </c>
      <c r="F70" s="263"/>
      <c r="G70" s="263">
        <v>0</v>
      </c>
      <c r="H70" s="264" t="s">
        <v>477</v>
      </c>
      <c r="I70" s="177"/>
      <c r="J70" s="274">
        <v>3</v>
      </c>
      <c r="K70" s="265">
        <v>2.16</v>
      </c>
      <c r="L70" s="126">
        <v>0.17280000000000001</v>
      </c>
      <c r="M70" s="97">
        <v>40</v>
      </c>
      <c r="N70" s="126">
        <v>6.9120000000000008</v>
      </c>
      <c r="O70" s="227">
        <v>76.032000000000011</v>
      </c>
      <c r="P70" s="266"/>
      <c r="Q70" s="88">
        <f t="shared" si="6"/>
        <v>927.7632000000001</v>
      </c>
      <c r="R70" s="657">
        <f t="shared" si="7"/>
        <v>5369</v>
      </c>
      <c r="S70" s="38">
        <v>325.77199999999999</v>
      </c>
      <c r="U70" s="4"/>
      <c r="V70" s="82"/>
      <c r="X70" s="2"/>
    </row>
    <row r="71" spans="1:24" ht="20.100000000000001" customHeight="1" thickBot="1" x14ac:dyDescent="0.3">
      <c r="A71" s="767"/>
      <c r="B71" s="203">
        <v>1200</v>
      </c>
      <c r="C71" s="204">
        <v>600</v>
      </c>
      <c r="D71" s="209">
        <v>90</v>
      </c>
      <c r="E71" s="238" t="s">
        <v>46</v>
      </c>
      <c r="F71" s="263">
        <v>71.428571428571431</v>
      </c>
      <c r="G71" s="263">
        <v>11.482216343327455</v>
      </c>
      <c r="H71" s="264" t="s">
        <v>478</v>
      </c>
      <c r="I71" s="177">
        <v>205.28639999999999</v>
      </c>
      <c r="J71" s="274">
        <v>3</v>
      </c>
      <c r="K71" s="322">
        <v>2.16</v>
      </c>
      <c r="L71" s="126">
        <v>0.19439999999999999</v>
      </c>
      <c r="M71" s="97">
        <v>32</v>
      </c>
      <c r="N71" s="126">
        <v>6.2207999999999997</v>
      </c>
      <c r="O71" s="227">
        <v>68.428799999999995</v>
      </c>
      <c r="P71" s="266"/>
      <c r="Q71" s="88">
        <f t="shared" si="6"/>
        <v>1043.7336</v>
      </c>
      <c r="R71" s="657">
        <f t="shared" si="7"/>
        <v>5369</v>
      </c>
      <c r="S71" s="104">
        <v>366.49349999999993</v>
      </c>
      <c r="U71" s="4"/>
      <c r="V71" s="82"/>
      <c r="W71" s="82"/>
      <c r="X71" s="2"/>
    </row>
    <row r="72" spans="1:24" ht="19.5" customHeight="1" thickBot="1" x14ac:dyDescent="0.3">
      <c r="A72" s="767"/>
      <c r="B72" s="203">
        <v>1200</v>
      </c>
      <c r="C72" s="204">
        <v>600</v>
      </c>
      <c r="D72" s="209">
        <v>100</v>
      </c>
      <c r="E72" s="238" t="s">
        <v>46</v>
      </c>
      <c r="F72" s="263"/>
      <c r="G72" s="263">
        <v>0</v>
      </c>
      <c r="H72" s="264" t="s">
        <v>479</v>
      </c>
      <c r="I72" s="177"/>
      <c r="J72" s="97">
        <v>3</v>
      </c>
      <c r="K72" s="265">
        <v>2.16</v>
      </c>
      <c r="L72" s="126">
        <v>0.216</v>
      </c>
      <c r="M72" s="97">
        <v>32</v>
      </c>
      <c r="N72" s="126">
        <v>6.9119999999999999</v>
      </c>
      <c r="O72" s="227">
        <v>76.031999999999996</v>
      </c>
      <c r="P72" s="266"/>
      <c r="Q72" s="88">
        <f t="shared" si="6"/>
        <v>1159.704</v>
      </c>
      <c r="R72" s="657">
        <f t="shared" si="7"/>
        <v>5369</v>
      </c>
      <c r="S72" s="267">
        <v>407.21499999999992</v>
      </c>
      <c r="U72" s="4"/>
      <c r="V72" s="82"/>
      <c r="X72" s="2"/>
    </row>
    <row r="73" spans="1:24" ht="20.100000000000001" customHeight="1" thickBot="1" x14ac:dyDescent="0.3">
      <c r="A73" s="869"/>
      <c r="B73" s="203">
        <v>1200</v>
      </c>
      <c r="C73" s="204">
        <v>600</v>
      </c>
      <c r="D73" s="209">
        <v>110</v>
      </c>
      <c r="E73" s="238" t="s">
        <v>46</v>
      </c>
      <c r="F73" s="263">
        <v>74.074074074074076</v>
      </c>
      <c r="G73" s="263">
        <v>11.690983913206136</v>
      </c>
      <c r="H73" s="264" t="s">
        <v>480</v>
      </c>
      <c r="I73" s="177">
        <v>228.09600000000003</v>
      </c>
      <c r="J73" s="97">
        <v>2</v>
      </c>
      <c r="K73" s="265">
        <v>1.4400000000000002</v>
      </c>
      <c r="L73" s="126">
        <v>0.15840000000000001</v>
      </c>
      <c r="M73" s="97">
        <v>40</v>
      </c>
      <c r="N73" s="126">
        <v>6.3360000000000003</v>
      </c>
      <c r="O73" s="227">
        <v>69.695999999999998</v>
      </c>
      <c r="P73" s="266"/>
      <c r="Q73" s="88">
        <f t="shared" ref="Q73:Q77" si="8">L73*R73</f>
        <v>850.44960000000003</v>
      </c>
      <c r="R73" s="657">
        <f>R67</f>
        <v>5369</v>
      </c>
      <c r="S73" s="104">
        <v>447.93649999999997</v>
      </c>
      <c r="U73" s="4"/>
      <c r="V73" s="82"/>
      <c r="W73" s="82"/>
      <c r="X73" s="2"/>
    </row>
    <row r="74" spans="1:24" ht="20.100000000000001" customHeight="1" thickBot="1" x14ac:dyDescent="0.3">
      <c r="A74" s="869"/>
      <c r="B74" s="203">
        <v>1200</v>
      </c>
      <c r="C74" s="204">
        <v>600</v>
      </c>
      <c r="D74" s="209">
        <v>120</v>
      </c>
      <c r="E74" s="238" t="s">
        <v>46</v>
      </c>
      <c r="F74" s="263"/>
      <c r="G74" s="263">
        <v>0</v>
      </c>
      <c r="H74" s="264" t="s">
        <v>481</v>
      </c>
      <c r="I74" s="177">
        <v>248.83200000000005</v>
      </c>
      <c r="J74" s="97">
        <v>2</v>
      </c>
      <c r="K74" s="265">
        <v>1.4400000000000002</v>
      </c>
      <c r="L74" s="126">
        <v>0.17280000000000001</v>
      </c>
      <c r="M74" s="97">
        <v>40</v>
      </c>
      <c r="N74" s="126">
        <v>6.9120000000000008</v>
      </c>
      <c r="O74" s="227">
        <v>76.032000000000011</v>
      </c>
      <c r="P74" s="266"/>
      <c r="Q74" s="88">
        <f t="shared" si="8"/>
        <v>927.7632000000001</v>
      </c>
      <c r="R74" s="657">
        <f t="shared" si="7"/>
        <v>5369</v>
      </c>
      <c r="S74" s="105">
        <v>488.65799999999996</v>
      </c>
      <c r="U74" s="4"/>
      <c r="V74" s="82"/>
      <c r="X74" s="2"/>
    </row>
    <row r="75" spans="1:24" ht="20.100000000000001" customHeight="1" thickBot="1" x14ac:dyDescent="0.3">
      <c r="A75" s="869"/>
      <c r="B75" s="203">
        <v>1200</v>
      </c>
      <c r="C75" s="204">
        <v>600</v>
      </c>
      <c r="D75" s="209">
        <v>130</v>
      </c>
      <c r="E75" s="238" t="s">
        <v>46</v>
      </c>
      <c r="F75" s="263">
        <v>74.074074074074076</v>
      </c>
      <c r="G75" s="263">
        <v>10.991523337202349</v>
      </c>
      <c r="H75" s="264" t="s">
        <v>482</v>
      </c>
      <c r="I75" s="177">
        <v>222.39360000000002</v>
      </c>
      <c r="J75" s="97">
        <v>2</v>
      </c>
      <c r="K75" s="265">
        <v>1.4400000000000002</v>
      </c>
      <c r="L75" s="126">
        <v>0.18720000000000001</v>
      </c>
      <c r="M75" s="97">
        <v>36</v>
      </c>
      <c r="N75" s="126">
        <v>6.7392000000000003</v>
      </c>
      <c r="O75" s="227">
        <v>74.131200000000007</v>
      </c>
      <c r="P75" s="266"/>
      <c r="Q75" s="88">
        <f t="shared" si="8"/>
        <v>1005.0768</v>
      </c>
      <c r="R75" s="657">
        <f t="shared" si="7"/>
        <v>5369</v>
      </c>
      <c r="S75" s="103">
        <v>529.37950000000001</v>
      </c>
      <c r="U75" s="4"/>
      <c r="V75" s="82"/>
      <c r="X75" s="2"/>
    </row>
    <row r="76" spans="1:24" ht="20.100000000000001" customHeight="1" thickBot="1" x14ac:dyDescent="0.3">
      <c r="A76" s="869"/>
      <c r="B76" s="12">
        <v>1200</v>
      </c>
      <c r="C76" s="13">
        <v>600</v>
      </c>
      <c r="D76" s="14">
        <v>140</v>
      </c>
      <c r="E76" s="61" t="s">
        <v>46</v>
      </c>
      <c r="F76" s="107">
        <v>74.074074074074076</v>
      </c>
      <c r="G76" s="116">
        <v>11.482216343327455</v>
      </c>
      <c r="H76" s="219" t="s">
        <v>483</v>
      </c>
      <c r="I76" s="177">
        <v>212.8896</v>
      </c>
      <c r="J76" s="47">
        <v>2</v>
      </c>
      <c r="K76" s="188">
        <v>1.4400000000000002</v>
      </c>
      <c r="L76" s="182">
        <v>0.2016</v>
      </c>
      <c r="M76" s="47">
        <v>32</v>
      </c>
      <c r="N76" s="182">
        <v>6.4512</v>
      </c>
      <c r="O76" s="194">
        <v>70.963200000000001</v>
      </c>
      <c r="P76" s="48"/>
      <c r="Q76" s="88">
        <f t="shared" si="8"/>
        <v>1082.3904</v>
      </c>
      <c r="R76" s="657">
        <f t="shared" si="7"/>
        <v>5369</v>
      </c>
      <c r="S76" s="38">
        <v>570.101</v>
      </c>
      <c r="U76" s="4"/>
      <c r="V76" s="82"/>
      <c r="W76" s="82"/>
      <c r="X76" s="2"/>
    </row>
    <row r="77" spans="1:24" ht="20.100000000000001" customHeight="1" thickBot="1" x14ac:dyDescent="0.3">
      <c r="A77" s="869"/>
      <c r="B77" s="12">
        <v>1200</v>
      </c>
      <c r="C77" s="13">
        <v>600</v>
      </c>
      <c r="D77" s="14">
        <v>150</v>
      </c>
      <c r="E77" s="61" t="s">
        <v>46</v>
      </c>
      <c r="F77" s="107">
        <v>74.074074074074076</v>
      </c>
      <c r="G77" s="116">
        <v>10.716735253772292</v>
      </c>
      <c r="H77" s="219" t="s">
        <v>484</v>
      </c>
      <c r="I77" s="177">
        <v>228.096</v>
      </c>
      <c r="J77" s="47">
        <v>2</v>
      </c>
      <c r="K77" s="188">
        <v>1.4400000000000002</v>
      </c>
      <c r="L77" s="182">
        <v>0.216</v>
      </c>
      <c r="M77" s="47">
        <v>32</v>
      </c>
      <c r="N77" s="182">
        <v>6.9119999999999999</v>
      </c>
      <c r="O77" s="194">
        <v>76.031999999999996</v>
      </c>
      <c r="P77" s="48"/>
      <c r="Q77" s="88">
        <f t="shared" si="8"/>
        <v>1159.704</v>
      </c>
      <c r="R77" s="657">
        <f t="shared" si="7"/>
        <v>5369</v>
      </c>
      <c r="S77" s="38">
        <v>610.82249999999999</v>
      </c>
      <c r="U77" s="4"/>
      <c r="V77" s="82"/>
      <c r="X77" s="2"/>
    </row>
    <row r="78" spans="1:24" ht="20.100000000000001" customHeight="1" thickBot="1" x14ac:dyDescent="0.3">
      <c r="A78" s="767"/>
      <c r="B78" s="203">
        <v>1200</v>
      </c>
      <c r="C78" s="204">
        <v>600</v>
      </c>
      <c r="D78" s="209">
        <v>160</v>
      </c>
      <c r="E78" s="238" t="s">
        <v>46</v>
      </c>
      <c r="F78" s="263">
        <v>74.074074074074076</v>
      </c>
      <c r="G78" s="263">
        <v>11.690983913206136</v>
      </c>
      <c r="H78" s="264" t="s">
        <v>575</v>
      </c>
      <c r="I78" s="177"/>
      <c r="J78" s="97">
        <v>2</v>
      </c>
      <c r="K78" s="265">
        <v>1.4400000000000002</v>
      </c>
      <c r="L78" s="126">
        <v>0.15840000000000001</v>
      </c>
      <c r="M78" s="97">
        <v>28</v>
      </c>
      <c r="N78" s="126">
        <v>6.4511999999999992</v>
      </c>
      <c r="O78" s="227">
        <v>70.963199999999986</v>
      </c>
      <c r="P78" s="266"/>
      <c r="Q78" s="88">
        <f t="shared" si="6"/>
        <v>850.44960000000003</v>
      </c>
      <c r="R78" s="657">
        <f>R72</f>
        <v>5369</v>
      </c>
      <c r="S78" s="104">
        <v>447.93649999999997</v>
      </c>
      <c r="U78" s="4"/>
      <c r="V78" s="82"/>
      <c r="W78" s="82"/>
      <c r="X78" s="2"/>
    </row>
    <row r="79" spans="1:24" ht="20.100000000000001" customHeight="1" thickBot="1" x14ac:dyDescent="0.3">
      <c r="A79" s="767"/>
      <c r="B79" s="203">
        <v>1200</v>
      </c>
      <c r="C79" s="204">
        <v>600</v>
      </c>
      <c r="D79" s="209">
        <v>170</v>
      </c>
      <c r="E79" s="238" t="s">
        <v>46</v>
      </c>
      <c r="F79" s="263"/>
      <c r="G79" s="263">
        <v>0</v>
      </c>
      <c r="H79" s="264" t="s">
        <v>576</v>
      </c>
      <c r="I79" s="177"/>
      <c r="J79" s="97">
        <v>2</v>
      </c>
      <c r="K79" s="265">
        <v>1.4400000000000002</v>
      </c>
      <c r="L79" s="126">
        <v>0.17280000000000001</v>
      </c>
      <c r="M79" s="97">
        <v>28</v>
      </c>
      <c r="N79" s="126">
        <v>6.8544</v>
      </c>
      <c r="O79" s="227">
        <v>75.398399999999995</v>
      </c>
      <c r="P79" s="266"/>
      <c r="Q79" s="88">
        <f t="shared" si="6"/>
        <v>927.7632000000001</v>
      </c>
      <c r="R79" s="657">
        <f t="shared" si="7"/>
        <v>5369</v>
      </c>
      <c r="S79" s="105">
        <v>488.65799999999996</v>
      </c>
      <c r="U79" s="4"/>
      <c r="V79" s="82"/>
      <c r="X79" s="2"/>
    </row>
    <row r="80" spans="1:24" ht="20.100000000000001" customHeight="1" thickBot="1" x14ac:dyDescent="0.3">
      <c r="A80" s="767"/>
      <c r="B80" s="203">
        <v>1200</v>
      </c>
      <c r="C80" s="204">
        <v>600</v>
      </c>
      <c r="D80" s="209">
        <v>180</v>
      </c>
      <c r="E80" s="238" t="s">
        <v>46</v>
      </c>
      <c r="F80" s="263">
        <v>74.074074074074076</v>
      </c>
      <c r="G80" s="263">
        <v>10.991523337202349</v>
      </c>
      <c r="H80" s="264" t="s">
        <v>577</v>
      </c>
      <c r="I80" s="177"/>
      <c r="J80" s="97">
        <v>2</v>
      </c>
      <c r="K80" s="265">
        <v>1.4400000000000002</v>
      </c>
      <c r="L80" s="126">
        <v>0.18720000000000001</v>
      </c>
      <c r="M80" s="97">
        <v>24</v>
      </c>
      <c r="N80" s="126">
        <v>6.2207999999999997</v>
      </c>
      <c r="O80" s="227">
        <v>68.428799999999995</v>
      </c>
      <c r="P80" s="266"/>
      <c r="Q80" s="88">
        <f t="shared" si="6"/>
        <v>1005.0768</v>
      </c>
      <c r="R80" s="657">
        <f t="shared" si="7"/>
        <v>5369</v>
      </c>
      <c r="S80" s="103">
        <v>529.37950000000001</v>
      </c>
      <c r="U80" s="4"/>
      <c r="V80" s="82"/>
      <c r="X80" s="2"/>
    </row>
    <row r="81" spans="1:25" ht="20.100000000000001" customHeight="1" thickBot="1" x14ac:dyDescent="0.3">
      <c r="A81" s="767"/>
      <c r="B81" s="12">
        <v>1200</v>
      </c>
      <c r="C81" s="13">
        <v>600</v>
      </c>
      <c r="D81" s="14">
        <v>190</v>
      </c>
      <c r="E81" s="61" t="s">
        <v>46</v>
      </c>
      <c r="F81" s="107">
        <v>74.074074074074076</v>
      </c>
      <c r="G81" s="116">
        <v>11.482216343327455</v>
      </c>
      <c r="H81" s="219" t="s">
        <v>578</v>
      </c>
      <c r="I81" s="177"/>
      <c r="J81" s="47">
        <v>2</v>
      </c>
      <c r="K81" s="188">
        <v>1.4400000000000002</v>
      </c>
      <c r="L81" s="182">
        <v>0.2016</v>
      </c>
      <c r="M81" s="47">
        <v>24</v>
      </c>
      <c r="N81" s="182">
        <v>6.5663999999999989</v>
      </c>
      <c r="O81" s="194">
        <v>72.230399999999989</v>
      </c>
      <c r="P81" s="48"/>
      <c r="Q81" s="88">
        <f t="shared" si="6"/>
        <v>1082.3904</v>
      </c>
      <c r="R81" s="657">
        <f t="shared" si="7"/>
        <v>5369</v>
      </c>
      <c r="S81" s="38">
        <v>570.101</v>
      </c>
      <c r="U81" s="4"/>
      <c r="V81" s="82"/>
      <c r="W81" s="82"/>
      <c r="X81" s="2"/>
    </row>
    <row r="82" spans="1:25" ht="20.100000000000001" customHeight="1" thickBot="1" x14ac:dyDescent="0.3">
      <c r="A82" s="767"/>
      <c r="B82" s="15">
        <v>1200</v>
      </c>
      <c r="C82" s="16">
        <v>600</v>
      </c>
      <c r="D82" s="17">
        <v>200</v>
      </c>
      <c r="E82" s="454" t="s">
        <v>46</v>
      </c>
      <c r="F82" s="108">
        <v>74.074074074074076</v>
      </c>
      <c r="G82" s="444">
        <v>10.716735253772292</v>
      </c>
      <c r="H82" s="442" t="s">
        <v>579</v>
      </c>
      <c r="I82" s="455"/>
      <c r="J82" s="49">
        <v>1</v>
      </c>
      <c r="K82" s="456">
        <v>1.4400000000000002</v>
      </c>
      <c r="L82" s="184">
        <v>0.216</v>
      </c>
      <c r="M82" s="49">
        <v>48</v>
      </c>
      <c r="N82" s="184">
        <v>6.911999999999999</v>
      </c>
      <c r="O82" s="457">
        <v>76.031999999999982</v>
      </c>
      <c r="P82" s="50"/>
      <c r="Q82" s="479">
        <f t="shared" si="6"/>
        <v>1159.704</v>
      </c>
      <c r="R82" s="262">
        <f t="shared" si="7"/>
        <v>5369</v>
      </c>
      <c r="S82" s="40">
        <v>610.82249999999999</v>
      </c>
      <c r="U82" s="4"/>
      <c r="V82" s="82"/>
      <c r="X82" s="2"/>
    </row>
    <row r="83" spans="1:25" ht="20.100000000000001" customHeight="1" thickBot="1" x14ac:dyDescent="0.3">
      <c r="A83" s="35" t="s">
        <v>486</v>
      </c>
      <c r="B83" s="252">
        <v>1200</v>
      </c>
      <c r="C83" s="250">
        <v>600</v>
      </c>
      <c r="D83" s="251">
        <v>50</v>
      </c>
      <c r="E83" s="238" t="s">
        <v>46</v>
      </c>
      <c r="F83" s="319"/>
      <c r="G83" s="319">
        <v>0</v>
      </c>
      <c r="H83" s="310" t="s">
        <v>711</v>
      </c>
      <c r="I83" s="178"/>
      <c r="J83" s="311">
        <v>6</v>
      </c>
      <c r="K83" s="265">
        <v>3.6</v>
      </c>
      <c r="L83" s="132">
        <v>0.18</v>
      </c>
      <c r="M83" s="320">
        <v>32</v>
      </c>
      <c r="N83" s="132">
        <v>6.9119999999999999</v>
      </c>
      <c r="O83" s="226">
        <v>76.031999999999996</v>
      </c>
      <c r="P83" s="321"/>
      <c r="Q83" s="88">
        <f>L83*R83</f>
        <v>666.54</v>
      </c>
      <c r="R83" s="656">
        <v>3703</v>
      </c>
      <c r="S83" s="286">
        <v>203.60749999999996</v>
      </c>
      <c r="U83" s="4"/>
      <c r="V83" s="82"/>
      <c r="X83" s="2"/>
    </row>
    <row r="84" spans="1:25" ht="20.100000000000001" customHeight="1" thickBot="1" x14ac:dyDescent="0.3">
      <c r="A84" s="767"/>
      <c r="B84" s="203">
        <v>1200</v>
      </c>
      <c r="C84" s="204">
        <v>600</v>
      </c>
      <c r="D84" s="209">
        <v>60</v>
      </c>
      <c r="E84" s="238" t="s">
        <v>46</v>
      </c>
      <c r="F84" s="263">
        <v>71.428571428571431</v>
      </c>
      <c r="G84" s="263">
        <v>10.333994708994709</v>
      </c>
      <c r="H84" s="264"/>
      <c r="I84" s="177">
        <v>228.09600000000003</v>
      </c>
      <c r="J84" s="97">
        <v>4</v>
      </c>
      <c r="K84" s="265">
        <v>2.8800000000000003</v>
      </c>
      <c r="L84" s="126">
        <v>0.17280000000000001</v>
      </c>
      <c r="M84" s="97">
        <v>40</v>
      </c>
      <c r="N84" s="126">
        <v>6.9120000000000008</v>
      </c>
      <c r="O84" s="227">
        <v>76.032000000000011</v>
      </c>
      <c r="P84" s="266"/>
      <c r="Q84" s="88">
        <f t="shared" ref="Q84:Q93" si="9">L84*R84</f>
        <v>639.87840000000006</v>
      </c>
      <c r="R84" s="657">
        <f>R83</f>
        <v>3703</v>
      </c>
      <c r="S84" s="276">
        <v>244.32899999999998</v>
      </c>
      <c r="U84" s="4"/>
      <c r="V84" s="82"/>
      <c r="X84" s="2"/>
    </row>
    <row r="85" spans="1:25" ht="20.100000000000001" customHeight="1" thickBot="1" x14ac:dyDescent="0.3">
      <c r="A85" s="767"/>
      <c r="B85" s="203">
        <v>1200</v>
      </c>
      <c r="C85" s="204">
        <v>600</v>
      </c>
      <c r="D85" s="209">
        <v>70</v>
      </c>
      <c r="E85" s="238" t="s">
        <v>46</v>
      </c>
      <c r="F85" s="263">
        <v>71.428571428571431</v>
      </c>
      <c r="G85" s="263">
        <v>10.736617879475023</v>
      </c>
      <c r="H85" s="264"/>
      <c r="I85" s="177">
        <v>219.54240000000001</v>
      </c>
      <c r="J85" s="97">
        <v>3</v>
      </c>
      <c r="K85" s="265">
        <v>2.16</v>
      </c>
      <c r="L85" s="126">
        <v>0.1512</v>
      </c>
      <c r="M85" s="97">
        <v>44</v>
      </c>
      <c r="N85" s="126">
        <v>6.6528</v>
      </c>
      <c r="O85" s="227">
        <v>73.180800000000005</v>
      </c>
      <c r="P85" s="266"/>
      <c r="Q85" s="88">
        <f t="shared" si="9"/>
        <v>559.89359999999999</v>
      </c>
      <c r="R85" s="657">
        <f t="shared" ref="R85:R93" si="10">R84</f>
        <v>3703</v>
      </c>
      <c r="S85" s="267">
        <v>285.0505</v>
      </c>
      <c r="U85" s="4"/>
      <c r="V85" s="82"/>
      <c r="X85" s="2"/>
    </row>
    <row r="86" spans="1:25" ht="20.100000000000001" customHeight="1" thickBot="1" x14ac:dyDescent="0.3">
      <c r="A86" s="767"/>
      <c r="B86" s="203">
        <v>1200</v>
      </c>
      <c r="C86" s="204">
        <v>600</v>
      </c>
      <c r="D86" s="209">
        <v>80</v>
      </c>
      <c r="E86" s="238" t="s">
        <v>46</v>
      </c>
      <c r="F86" s="263"/>
      <c r="G86" s="263">
        <v>0</v>
      </c>
      <c r="H86" s="264"/>
      <c r="I86" s="177"/>
      <c r="J86" s="274">
        <v>3</v>
      </c>
      <c r="K86" s="265">
        <v>2.16</v>
      </c>
      <c r="L86" s="126">
        <v>0.17280000000000001</v>
      </c>
      <c r="M86" s="97">
        <v>40</v>
      </c>
      <c r="N86" s="126">
        <v>6.9120000000000008</v>
      </c>
      <c r="O86" s="227">
        <v>76.032000000000011</v>
      </c>
      <c r="P86" s="266"/>
      <c r="Q86" s="88">
        <f t="shared" si="9"/>
        <v>639.87840000000006</v>
      </c>
      <c r="R86" s="657">
        <f t="shared" si="10"/>
        <v>3703</v>
      </c>
      <c r="S86" s="38">
        <v>325.77199999999999</v>
      </c>
      <c r="U86" s="4"/>
      <c r="V86" s="82"/>
      <c r="X86" s="2"/>
    </row>
    <row r="87" spans="1:25" ht="20.100000000000001" customHeight="1" thickBot="1" x14ac:dyDescent="0.3">
      <c r="A87" s="767"/>
      <c r="B87" s="203">
        <v>1200</v>
      </c>
      <c r="C87" s="204">
        <v>600</v>
      </c>
      <c r="D87" s="209">
        <v>90</v>
      </c>
      <c r="E87" s="238" t="s">
        <v>46</v>
      </c>
      <c r="F87" s="263">
        <v>71.428571428571431</v>
      </c>
      <c r="G87" s="263">
        <v>11.482216343327455</v>
      </c>
      <c r="H87" s="264"/>
      <c r="I87" s="177">
        <v>205.28639999999999</v>
      </c>
      <c r="J87" s="274">
        <v>3</v>
      </c>
      <c r="K87" s="322">
        <v>2.16</v>
      </c>
      <c r="L87" s="126">
        <v>0.19439999999999999</v>
      </c>
      <c r="M87" s="97">
        <v>32</v>
      </c>
      <c r="N87" s="126">
        <v>6.2207999999999997</v>
      </c>
      <c r="O87" s="227">
        <v>68.428799999999995</v>
      </c>
      <c r="P87" s="266"/>
      <c r="Q87" s="88">
        <f t="shared" si="9"/>
        <v>719.86320000000001</v>
      </c>
      <c r="R87" s="657">
        <f t="shared" si="10"/>
        <v>3703</v>
      </c>
      <c r="S87" s="104">
        <v>366.49349999999993</v>
      </c>
      <c r="U87" s="4"/>
      <c r="V87" s="82"/>
      <c r="W87" s="82"/>
      <c r="X87" s="2"/>
    </row>
    <row r="88" spans="1:25" ht="19.5" customHeight="1" thickBot="1" x14ac:dyDescent="0.3">
      <c r="A88" s="767"/>
      <c r="B88" s="203">
        <v>1200</v>
      </c>
      <c r="C88" s="204">
        <v>600</v>
      </c>
      <c r="D88" s="209">
        <v>100</v>
      </c>
      <c r="E88" s="238" t="s">
        <v>46</v>
      </c>
      <c r="F88" s="263"/>
      <c r="G88" s="263">
        <v>0</v>
      </c>
      <c r="H88" s="264"/>
      <c r="I88" s="177"/>
      <c r="J88" s="97">
        <v>3</v>
      </c>
      <c r="K88" s="265">
        <v>2.16</v>
      </c>
      <c r="L88" s="126">
        <v>0.216</v>
      </c>
      <c r="M88" s="97">
        <v>32</v>
      </c>
      <c r="N88" s="126">
        <v>6.9119999999999999</v>
      </c>
      <c r="O88" s="227">
        <v>76.031999999999996</v>
      </c>
      <c r="P88" s="266"/>
      <c r="Q88" s="88">
        <f t="shared" si="9"/>
        <v>799.84799999999996</v>
      </c>
      <c r="R88" s="657">
        <f t="shared" si="10"/>
        <v>3703</v>
      </c>
      <c r="S88" s="267">
        <v>407.21499999999992</v>
      </c>
      <c r="U88" s="4"/>
      <c r="V88" s="82"/>
      <c r="X88" s="2"/>
    </row>
    <row r="89" spans="1:25" ht="20.100000000000001" customHeight="1" thickBot="1" x14ac:dyDescent="0.3">
      <c r="A89" s="767"/>
      <c r="B89" s="203">
        <v>1200</v>
      </c>
      <c r="C89" s="204">
        <v>600</v>
      </c>
      <c r="D89" s="209">
        <v>110</v>
      </c>
      <c r="E89" s="238" t="s">
        <v>46</v>
      </c>
      <c r="F89" s="263">
        <v>74.074074074074076</v>
      </c>
      <c r="G89" s="263">
        <v>11.690983913206136</v>
      </c>
      <c r="H89" s="264"/>
      <c r="I89" s="177">
        <v>228.09600000000003</v>
      </c>
      <c r="J89" s="97">
        <v>2</v>
      </c>
      <c r="K89" s="265">
        <v>1.4400000000000002</v>
      </c>
      <c r="L89" s="126">
        <v>0.15840000000000001</v>
      </c>
      <c r="M89" s="97">
        <v>40</v>
      </c>
      <c r="N89" s="126">
        <v>6.3360000000000003</v>
      </c>
      <c r="O89" s="227">
        <v>69.695999999999998</v>
      </c>
      <c r="P89" s="266"/>
      <c r="Q89" s="88">
        <f t="shared" si="9"/>
        <v>586.55520000000001</v>
      </c>
      <c r="R89" s="657">
        <f t="shared" si="10"/>
        <v>3703</v>
      </c>
      <c r="S89" s="104">
        <v>447.93649999999997</v>
      </c>
      <c r="U89" s="4"/>
      <c r="V89" s="82"/>
      <c r="W89" s="82"/>
      <c r="X89" s="2"/>
    </row>
    <row r="90" spans="1:25" ht="20.100000000000001" customHeight="1" thickBot="1" x14ac:dyDescent="0.3">
      <c r="A90" s="767"/>
      <c r="B90" s="203">
        <v>1200</v>
      </c>
      <c r="C90" s="204">
        <v>600</v>
      </c>
      <c r="D90" s="209">
        <v>120</v>
      </c>
      <c r="E90" s="238" t="s">
        <v>46</v>
      </c>
      <c r="F90" s="263"/>
      <c r="G90" s="263">
        <v>0</v>
      </c>
      <c r="H90" s="264"/>
      <c r="I90" s="177">
        <v>248.83200000000005</v>
      </c>
      <c r="J90" s="97">
        <v>2</v>
      </c>
      <c r="K90" s="265">
        <v>1.4400000000000002</v>
      </c>
      <c r="L90" s="126">
        <v>0.17280000000000001</v>
      </c>
      <c r="M90" s="97">
        <v>40</v>
      </c>
      <c r="N90" s="126">
        <v>6.9120000000000008</v>
      </c>
      <c r="O90" s="227">
        <v>76.032000000000011</v>
      </c>
      <c r="P90" s="266"/>
      <c r="Q90" s="88">
        <f t="shared" si="9"/>
        <v>639.87840000000006</v>
      </c>
      <c r="R90" s="657">
        <f t="shared" si="10"/>
        <v>3703</v>
      </c>
      <c r="S90" s="105">
        <v>488.65799999999996</v>
      </c>
      <c r="U90" s="4"/>
      <c r="V90" s="82"/>
      <c r="X90" s="2"/>
    </row>
    <row r="91" spans="1:25" ht="20.100000000000001" customHeight="1" thickBot="1" x14ac:dyDescent="0.3">
      <c r="A91" s="767"/>
      <c r="B91" s="203">
        <v>1200</v>
      </c>
      <c r="C91" s="204">
        <v>600</v>
      </c>
      <c r="D91" s="209">
        <v>130</v>
      </c>
      <c r="E91" s="238" t="s">
        <v>46</v>
      </c>
      <c r="F91" s="263">
        <v>74.074074074074076</v>
      </c>
      <c r="G91" s="263">
        <v>10.991523337202349</v>
      </c>
      <c r="H91" s="264"/>
      <c r="I91" s="177">
        <v>222.39360000000002</v>
      </c>
      <c r="J91" s="97">
        <v>2</v>
      </c>
      <c r="K91" s="265">
        <v>1.4400000000000002</v>
      </c>
      <c r="L91" s="126">
        <v>0.18720000000000001</v>
      </c>
      <c r="M91" s="97">
        <v>36</v>
      </c>
      <c r="N91" s="126">
        <v>6.7392000000000003</v>
      </c>
      <c r="O91" s="227">
        <v>74.131200000000007</v>
      </c>
      <c r="P91" s="266"/>
      <c r="Q91" s="88">
        <f t="shared" si="9"/>
        <v>693.20159999999998</v>
      </c>
      <c r="R91" s="657">
        <f t="shared" si="10"/>
        <v>3703</v>
      </c>
      <c r="S91" s="103">
        <v>529.37950000000001</v>
      </c>
      <c r="U91" s="4"/>
      <c r="V91" s="82"/>
      <c r="X91" s="2"/>
    </row>
    <row r="92" spans="1:25" ht="20.100000000000001" customHeight="1" thickBot="1" x14ac:dyDescent="0.3">
      <c r="A92" s="767"/>
      <c r="B92" s="12">
        <v>1200</v>
      </c>
      <c r="C92" s="13">
        <v>600</v>
      </c>
      <c r="D92" s="14">
        <v>140</v>
      </c>
      <c r="E92" s="61" t="s">
        <v>46</v>
      </c>
      <c r="F92" s="107">
        <v>74.074074074074076</v>
      </c>
      <c r="G92" s="116">
        <v>11.482216343327455</v>
      </c>
      <c r="H92" s="219"/>
      <c r="I92" s="177">
        <v>212.8896</v>
      </c>
      <c r="J92" s="47">
        <v>2</v>
      </c>
      <c r="K92" s="188">
        <v>1.4400000000000002</v>
      </c>
      <c r="L92" s="182">
        <v>0.2016</v>
      </c>
      <c r="M92" s="47">
        <v>32</v>
      </c>
      <c r="N92" s="182">
        <v>6.4512</v>
      </c>
      <c r="O92" s="194">
        <v>70.963200000000001</v>
      </c>
      <c r="P92" s="48"/>
      <c r="Q92" s="88">
        <f t="shared" si="9"/>
        <v>746.52480000000003</v>
      </c>
      <c r="R92" s="657">
        <f t="shared" si="10"/>
        <v>3703</v>
      </c>
      <c r="S92" s="38">
        <v>570.101</v>
      </c>
      <c r="U92" s="4"/>
      <c r="V92" s="82"/>
      <c r="W92" s="82"/>
      <c r="X92" s="2"/>
    </row>
    <row r="93" spans="1:25" ht="20.100000000000001" customHeight="1" thickBot="1" x14ac:dyDescent="0.3">
      <c r="A93" s="767"/>
      <c r="B93" s="15">
        <v>1200</v>
      </c>
      <c r="C93" s="16">
        <v>600</v>
      </c>
      <c r="D93" s="17">
        <v>150</v>
      </c>
      <c r="E93" s="454" t="s">
        <v>46</v>
      </c>
      <c r="F93" s="108">
        <v>74.074074074074076</v>
      </c>
      <c r="G93" s="444">
        <v>10.716735253772292</v>
      </c>
      <c r="H93" s="442"/>
      <c r="I93" s="455">
        <v>228.096</v>
      </c>
      <c r="J93" s="49">
        <v>2</v>
      </c>
      <c r="K93" s="456">
        <v>1.4400000000000002</v>
      </c>
      <c r="L93" s="184">
        <v>0.216</v>
      </c>
      <c r="M93" s="49">
        <v>32</v>
      </c>
      <c r="N93" s="184">
        <v>6.9119999999999999</v>
      </c>
      <c r="O93" s="457">
        <v>76.031999999999996</v>
      </c>
      <c r="P93" s="50"/>
      <c r="Q93" s="479">
        <f t="shared" si="9"/>
        <v>799.84799999999996</v>
      </c>
      <c r="R93" s="262">
        <f t="shared" si="10"/>
        <v>3703</v>
      </c>
      <c r="S93" s="40">
        <v>610.82249999999999</v>
      </c>
      <c r="U93" s="4"/>
      <c r="V93" s="82"/>
      <c r="X93" s="2"/>
    </row>
    <row r="94" spans="1:25" ht="20.100000000000001" customHeight="1" x14ac:dyDescent="0.25">
      <c r="A94" s="8"/>
      <c r="B94" s="20"/>
      <c r="I94" s="138"/>
    </row>
    <row r="95" spans="1:25" ht="18.75" customHeight="1" x14ac:dyDescent="0.25">
      <c r="A95" s="1" t="s">
        <v>7</v>
      </c>
      <c r="E95" s="2"/>
      <c r="F95" s="2"/>
      <c r="G95" s="2"/>
      <c r="H95" s="2"/>
      <c r="I95" s="134"/>
      <c r="O95" s="1275" t="s">
        <v>21</v>
      </c>
      <c r="P95" s="1275"/>
      <c r="Q95" s="1275"/>
      <c r="R95" s="1275"/>
      <c r="S95" s="1275"/>
      <c r="U95" s="2"/>
      <c r="V95" s="2"/>
      <c r="W95" s="82"/>
      <c r="X95" s="2"/>
      <c r="Y95" s="2"/>
    </row>
    <row r="96" spans="1:25" s="32" customFormat="1" ht="20.100000000000001" customHeight="1" x14ac:dyDescent="0.25">
      <c r="A96" s="471" t="s">
        <v>342</v>
      </c>
      <c r="J96" s="33"/>
      <c r="L96" s="34"/>
      <c r="M96" s="33"/>
      <c r="N96" s="59"/>
      <c r="O96" s="1244" t="s">
        <v>40</v>
      </c>
      <c r="P96" s="1244"/>
      <c r="Q96" s="1244"/>
      <c r="R96" s="1244"/>
      <c r="S96" s="1244"/>
      <c r="W96" s="84"/>
    </row>
    <row r="97" spans="1:25" ht="20.100000000000001" customHeight="1" x14ac:dyDescent="0.25">
      <c r="A97" s="26" t="s">
        <v>23</v>
      </c>
      <c r="E97" s="2"/>
      <c r="F97" s="2"/>
      <c r="G97" s="2"/>
      <c r="H97" s="2"/>
      <c r="I97" s="2"/>
      <c r="O97" s="1244" t="s">
        <v>39</v>
      </c>
      <c r="P97" s="1244"/>
      <c r="Q97" s="1244"/>
      <c r="R97" s="1244"/>
      <c r="S97" s="1244"/>
      <c r="U97" s="2"/>
      <c r="V97" s="2"/>
      <c r="W97" s="82"/>
      <c r="X97" s="2"/>
      <c r="Y97" s="2"/>
    </row>
    <row r="98" spans="1:25" ht="20.100000000000001" customHeight="1" x14ac:dyDescent="0.25">
      <c r="A98" s="26" t="s">
        <v>24</v>
      </c>
      <c r="E98" s="2"/>
      <c r="F98" s="2"/>
      <c r="G98" s="2"/>
      <c r="H98" s="2"/>
      <c r="I98" s="2"/>
      <c r="O98" s="1245" t="s">
        <v>37</v>
      </c>
      <c r="P98" s="1245"/>
      <c r="Q98" s="1245"/>
      <c r="R98" s="1245"/>
      <c r="S98" s="1245"/>
      <c r="U98" s="2"/>
      <c r="V98" s="2"/>
      <c r="W98" s="82"/>
      <c r="X98" s="2"/>
      <c r="Y98" s="2"/>
    </row>
    <row r="99" spans="1:25" ht="20.100000000000001" customHeight="1" x14ac:dyDescent="0.25">
      <c r="A99" s="26" t="s">
        <v>52</v>
      </c>
      <c r="E99" s="2"/>
      <c r="F99" s="2"/>
      <c r="G99" s="2"/>
      <c r="H99" s="2"/>
      <c r="I99" s="2"/>
      <c r="Q99" s="1245" t="s">
        <v>38</v>
      </c>
      <c r="R99" s="1245"/>
      <c r="S99" s="1245"/>
      <c r="T99" s="74"/>
      <c r="U99" s="74"/>
      <c r="V99" s="2"/>
      <c r="W99" s="82"/>
      <c r="X99" s="2"/>
      <c r="Y99" s="2"/>
    </row>
    <row r="100" spans="1:25" ht="20.100000000000001" customHeight="1" x14ac:dyDescent="0.25">
      <c r="A100" s="30" t="s">
        <v>54</v>
      </c>
      <c r="E100" s="2"/>
      <c r="F100" s="2"/>
      <c r="G100" s="4"/>
      <c r="H100" s="2"/>
      <c r="I100" s="5"/>
      <c r="K100" s="56"/>
      <c r="U100" s="2"/>
      <c r="V100" s="2"/>
      <c r="W100" s="82"/>
      <c r="X100" s="2"/>
      <c r="Y100" s="2"/>
    </row>
    <row r="101" spans="1:25" ht="20.100000000000001" customHeight="1" x14ac:dyDescent="0.25">
      <c r="A101" s="30" t="s">
        <v>240</v>
      </c>
      <c r="E101" s="2"/>
      <c r="F101" s="2"/>
      <c r="G101" s="4"/>
      <c r="H101" s="2"/>
      <c r="I101" s="5"/>
      <c r="K101" s="56"/>
      <c r="U101" s="2"/>
      <c r="V101" s="2"/>
      <c r="W101" s="82"/>
      <c r="X101" s="2"/>
      <c r="Y101" s="2"/>
    </row>
    <row r="102" spans="1:25" ht="20.100000000000001" customHeight="1" x14ac:dyDescent="0.25">
      <c r="A102" s="30" t="s">
        <v>241</v>
      </c>
      <c r="E102" s="2"/>
      <c r="F102" s="2"/>
      <c r="G102" s="4"/>
      <c r="H102" s="2"/>
      <c r="I102" s="5"/>
      <c r="K102" s="56"/>
      <c r="U102" s="2"/>
      <c r="V102" s="2"/>
      <c r="W102" s="82"/>
      <c r="X102" s="2"/>
      <c r="Y102" s="2"/>
    </row>
    <row r="103" spans="1:25" ht="20.100000000000001" customHeight="1" x14ac:dyDescent="0.25">
      <c r="A103" s="30"/>
      <c r="E103" s="2"/>
      <c r="F103" s="4"/>
      <c r="G103" s="2"/>
      <c r="H103" s="2"/>
      <c r="I103" s="5"/>
      <c r="K103" s="56"/>
      <c r="U103" s="2"/>
      <c r="V103" s="2"/>
      <c r="W103" s="82"/>
      <c r="X103" s="2"/>
      <c r="Y103" s="2"/>
    </row>
    <row r="104" spans="1:25" ht="20.100000000000001" customHeight="1" x14ac:dyDescent="0.25">
      <c r="A104" s="30"/>
      <c r="E104" s="2"/>
      <c r="F104" s="4"/>
      <c r="G104" s="2"/>
      <c r="H104" s="2"/>
      <c r="I104" s="5"/>
      <c r="K104" s="56"/>
      <c r="U104" s="2"/>
      <c r="V104" s="2"/>
      <c r="W104" s="82"/>
      <c r="X104" s="2"/>
      <c r="Y104" s="2"/>
    </row>
    <row r="105" spans="1:25" ht="20.100000000000001" customHeight="1" x14ac:dyDescent="0.25">
      <c r="A105" s="31"/>
      <c r="E105" s="2"/>
      <c r="F105" s="2"/>
      <c r="G105" s="2"/>
      <c r="H105" s="2"/>
      <c r="I105" s="2"/>
      <c r="U105" s="2"/>
      <c r="V105" s="2"/>
      <c r="W105" s="82"/>
      <c r="X105" s="2"/>
      <c r="Y105" s="2"/>
    </row>
    <row r="106" spans="1:25" ht="20.100000000000001" customHeight="1" x14ac:dyDescent="0.25">
      <c r="E106" s="2"/>
      <c r="F106" s="2"/>
      <c r="G106" s="2"/>
      <c r="H106" s="2"/>
      <c r="I106" s="2"/>
      <c r="U106" s="2"/>
      <c r="V106" s="2"/>
      <c r="W106" s="82"/>
      <c r="X106" s="2"/>
      <c r="Y106" s="2"/>
    </row>
    <row r="107" spans="1:25" ht="19.5" customHeight="1" x14ac:dyDescent="0.25">
      <c r="A107" s="2"/>
      <c r="E107" s="2"/>
      <c r="F107" s="2"/>
      <c r="G107" s="2"/>
      <c r="H107" s="2"/>
      <c r="I107" s="2"/>
      <c r="U107" s="2"/>
      <c r="V107" s="2"/>
      <c r="W107" s="82"/>
      <c r="X107" s="2"/>
      <c r="Y107" s="2"/>
    </row>
    <row r="108" spans="1:25" ht="20.100000000000001" customHeight="1" x14ac:dyDescent="0.25">
      <c r="A108" s="2"/>
      <c r="E108" s="2"/>
      <c r="F108" s="2"/>
      <c r="G108" s="2"/>
      <c r="H108" s="2"/>
      <c r="I108" s="2"/>
      <c r="U108" s="2"/>
      <c r="V108" s="2"/>
      <c r="W108" s="82"/>
      <c r="X108" s="2"/>
      <c r="Y108" s="2"/>
    </row>
    <row r="109" spans="1:25" ht="20.100000000000001" customHeight="1" x14ac:dyDescent="0.25">
      <c r="A109" s="2"/>
      <c r="C109" s="19"/>
      <c r="D109" s="20"/>
      <c r="E109" s="20"/>
      <c r="F109" s="20"/>
      <c r="G109" s="20"/>
      <c r="H109" s="20"/>
      <c r="I109" s="20"/>
      <c r="J109" s="21"/>
      <c r="K109" s="20"/>
      <c r="L109" s="22"/>
      <c r="M109" s="69"/>
      <c r="N109" s="60"/>
      <c r="O109" s="20"/>
      <c r="P109" s="22"/>
      <c r="Q109" s="22"/>
      <c r="R109" s="22"/>
      <c r="S109" s="22"/>
      <c r="U109" s="2"/>
      <c r="V109" s="2"/>
      <c r="W109" s="82"/>
      <c r="X109" s="2"/>
      <c r="Y109" s="2"/>
    </row>
    <row r="110" spans="1:25" ht="20.100000000000001" customHeight="1" x14ac:dyDescent="0.25">
      <c r="C110" s="23"/>
      <c r="D110" s="20"/>
      <c r="E110" s="20"/>
      <c r="F110" s="20"/>
      <c r="G110" s="20"/>
      <c r="H110" s="20"/>
      <c r="I110" s="20"/>
      <c r="J110" s="21"/>
      <c r="K110" s="20"/>
      <c r="L110" s="24"/>
      <c r="M110" s="70"/>
      <c r="N110" s="60"/>
      <c r="O110" s="20"/>
      <c r="P110" s="24"/>
      <c r="Q110" s="24"/>
      <c r="R110" s="24"/>
      <c r="S110" s="24"/>
      <c r="U110" s="2"/>
      <c r="V110" s="2"/>
      <c r="W110" s="82"/>
      <c r="X110" s="2"/>
      <c r="Y110" s="2"/>
    </row>
    <row r="111" spans="1:25" ht="20.100000000000001" customHeight="1" x14ac:dyDescent="0.25">
      <c r="C111" s="23"/>
      <c r="D111" s="20"/>
      <c r="E111" s="20"/>
      <c r="F111" s="20"/>
      <c r="G111" s="20"/>
      <c r="H111" s="20"/>
      <c r="I111" s="20"/>
      <c r="J111" s="21"/>
      <c r="K111" s="20"/>
      <c r="L111" s="24"/>
      <c r="M111" s="70"/>
      <c r="N111" s="60"/>
      <c r="O111" s="20"/>
      <c r="P111" s="24"/>
      <c r="Q111" s="24"/>
      <c r="R111" s="24"/>
      <c r="S111" s="24"/>
      <c r="U111" s="2"/>
      <c r="V111" s="2"/>
      <c r="W111" s="82"/>
      <c r="X111" s="2"/>
      <c r="Y111" s="2"/>
    </row>
    <row r="113" spans="2:2" x14ac:dyDescent="0.25">
      <c r="B113" s="25"/>
    </row>
  </sheetData>
  <mergeCells count="22">
    <mergeCell ref="Q99:S99"/>
    <mergeCell ref="M6:N6"/>
    <mergeCell ref="O6:P6"/>
    <mergeCell ref="Q6:S6"/>
    <mergeCell ref="A9:A23"/>
    <mergeCell ref="A25:A39"/>
    <mergeCell ref="A41:A55"/>
    <mergeCell ref="A57:A66"/>
    <mergeCell ref="O95:S95"/>
    <mergeCell ref="O96:S96"/>
    <mergeCell ref="O97:S97"/>
    <mergeCell ref="O98:S98"/>
    <mergeCell ref="A4:S4"/>
    <mergeCell ref="A6:A7"/>
    <mergeCell ref="B6:B7"/>
    <mergeCell ref="C6:C7"/>
    <mergeCell ref="D6:D7"/>
    <mergeCell ref="E6:E7"/>
    <mergeCell ref="F6:F7"/>
    <mergeCell ref="H6:H7"/>
    <mergeCell ref="I6:I7"/>
    <mergeCell ref="J6:L6"/>
  </mergeCells>
  <hyperlinks>
    <hyperlink ref="O98" r:id="rId1"/>
    <hyperlink ref="Q99" r:id="rId2"/>
  </hyperlinks>
  <printOptions horizontalCentered="1"/>
  <pageMargins left="0.19685039370078741" right="0.19685039370078741" top="0.39370078740157483" bottom="0" header="0" footer="0"/>
  <pageSetup paperSize="9" scale="38" orientation="portrait" verticalDpi="1" r:id="rId3"/>
  <headerFooter alignWithMargins="0"/>
  <drawing r:id="rId4"/>
  <legacyDrawing r:id="rId5"/>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3">
    <tabColor rgb="FFFF0000"/>
  </sheetPr>
  <dimension ref="A1:Y68"/>
  <sheetViews>
    <sheetView showGridLines="0" view="pageBreakPreview" zoomScale="74" zoomScaleNormal="100" zoomScaleSheetLayoutView="74" workbookViewId="0">
      <pane xSplit="1" ySplit="7" topLeftCell="B8" activePane="bottomRight" state="frozen"/>
      <selection sqref="A1:IV65536"/>
      <selection pane="topRight" sqref="A1:IV65536"/>
      <selection pane="bottomLeft" sqref="A1:IV65536"/>
      <selection pane="bottomRight" activeCell="I10" sqref="I10"/>
    </sheetView>
  </sheetViews>
  <sheetFormatPr defaultColWidth="11.42578125" defaultRowHeight="18" x14ac:dyDescent="0.25"/>
  <cols>
    <col min="1" max="1" width="44.85546875" style="3" customWidth="1"/>
    <col min="2" max="4" width="9.7109375" style="2" customWidth="1"/>
    <col min="5" max="5" width="6.140625" style="71" hidden="1" customWidth="1"/>
    <col min="6" max="7" width="10.7109375" style="71" hidden="1" customWidth="1"/>
    <col min="8" max="8" width="16.28515625" style="71" customWidth="1"/>
    <col min="9" max="9" width="10.7109375" style="71" customWidth="1"/>
    <col min="10" max="10" width="11.5703125" style="4" customWidth="1"/>
    <col min="11" max="11" width="11.5703125" style="2" customWidth="1"/>
    <col min="12" max="12" width="11.5703125" style="5" customWidth="1"/>
    <col min="13" max="13" width="11.5703125" style="4" customWidth="1"/>
    <col min="14" max="14" width="11.5703125" style="56" customWidth="1"/>
    <col min="15" max="15" width="12.85546875" style="2" customWidth="1"/>
    <col min="16" max="16" width="13.42578125" style="5" customWidth="1"/>
    <col min="17" max="17" width="13.85546875" style="2" customWidth="1"/>
    <col min="18" max="18" width="13.5703125" style="2" customWidth="1"/>
    <col min="19" max="19" width="15.140625" style="2" customWidth="1"/>
    <col min="20" max="20" width="11.42578125" style="2"/>
    <col min="21" max="21" width="11.42578125" style="79"/>
    <col min="22" max="22" width="5.7109375" style="79" customWidth="1"/>
    <col min="23" max="23" width="10.7109375" style="86" customWidth="1"/>
    <col min="24" max="24" width="11.42578125" style="79"/>
    <col min="25" max="25" width="9.140625" customWidth="1"/>
    <col min="26" max="16384" width="11.42578125" style="2"/>
  </cols>
  <sheetData>
    <row r="1" spans="1:25" ht="26.25" x14ac:dyDescent="0.4">
      <c r="A1" s="75" t="s">
        <v>19</v>
      </c>
    </row>
    <row r="2" spans="1:25" s="27" customFormat="1" ht="26.25" x14ac:dyDescent="0.4">
      <c r="A2" s="75" t="s">
        <v>20</v>
      </c>
      <c r="E2" s="72"/>
      <c r="F2" s="72"/>
      <c r="G2" s="72"/>
      <c r="H2" s="72"/>
      <c r="I2" s="72"/>
      <c r="J2" s="28"/>
      <c r="L2" s="29"/>
      <c r="M2" s="28"/>
      <c r="N2" s="57"/>
      <c r="P2" s="29"/>
      <c r="U2" s="2"/>
      <c r="V2" s="2"/>
      <c r="W2" s="82"/>
      <c r="X2" s="2"/>
    </row>
    <row r="3" spans="1:25" s="27" customFormat="1" ht="60" customHeight="1" x14ac:dyDescent="0.4">
      <c r="A3" s="2" t="s">
        <v>53</v>
      </c>
      <c r="E3" s="72"/>
      <c r="F3" s="72"/>
      <c r="G3" s="72"/>
      <c r="H3" s="72"/>
      <c r="I3" s="72"/>
      <c r="J3" s="28"/>
      <c r="L3" s="29"/>
      <c r="M3" s="28"/>
      <c r="N3" s="57"/>
      <c r="P3" s="29"/>
      <c r="U3" s="2"/>
      <c r="V3" s="2"/>
      <c r="W3" s="82"/>
      <c r="X3" s="2"/>
    </row>
    <row r="4" spans="1:25" x14ac:dyDescent="0.25">
      <c r="A4" s="1248" t="str">
        <f>'ЛАЙТ Рязань'!A4</f>
        <v>03.03.2011г.</v>
      </c>
      <c r="B4" s="1249"/>
      <c r="C4" s="1249"/>
      <c r="D4" s="1249"/>
      <c r="E4" s="1249"/>
      <c r="F4" s="1249"/>
      <c r="G4" s="1249"/>
      <c r="H4" s="1249"/>
      <c r="I4" s="1249"/>
      <c r="J4" s="1249"/>
      <c r="K4" s="1249"/>
      <c r="L4" s="1249"/>
      <c r="M4" s="1249"/>
      <c r="N4" s="1249"/>
      <c r="O4" s="1249"/>
      <c r="P4" s="1249"/>
      <c r="Q4" s="1249"/>
      <c r="R4" s="1249"/>
      <c r="S4" s="1249"/>
      <c r="T4" s="7"/>
    </row>
    <row r="5" spans="1:25" ht="18.75" thickBot="1" x14ac:dyDescent="0.3">
      <c r="A5" s="6"/>
      <c r="B5" s="7"/>
      <c r="C5" s="7"/>
      <c r="D5" s="7"/>
      <c r="E5" s="73"/>
      <c r="F5" s="73"/>
      <c r="G5" s="73"/>
      <c r="H5" s="73"/>
      <c r="I5" s="73"/>
      <c r="J5" s="7"/>
      <c r="K5" s="7"/>
      <c r="L5" s="7"/>
      <c r="M5" s="67"/>
      <c r="N5" s="58"/>
      <c r="O5" s="7"/>
      <c r="P5" s="7"/>
      <c r="Q5" s="7"/>
      <c r="R5" s="7"/>
      <c r="S5" s="7"/>
      <c r="T5" s="7"/>
    </row>
    <row r="6" spans="1:25" ht="72.75" customHeight="1" thickBot="1" x14ac:dyDescent="0.3">
      <c r="A6" s="1250" t="s">
        <v>0</v>
      </c>
      <c r="B6" s="1252" t="s">
        <v>1</v>
      </c>
      <c r="C6" s="1254" t="s">
        <v>2</v>
      </c>
      <c r="D6" s="1256" t="s">
        <v>3</v>
      </c>
      <c r="E6" s="1260" t="s">
        <v>36</v>
      </c>
      <c r="F6" s="1260" t="s">
        <v>56</v>
      </c>
      <c r="G6" s="109"/>
      <c r="H6" s="1260" t="s">
        <v>133</v>
      </c>
      <c r="I6" s="1260" t="s">
        <v>56</v>
      </c>
      <c r="J6" s="1276" t="s">
        <v>49</v>
      </c>
      <c r="K6" s="1277"/>
      <c r="L6" s="1278"/>
      <c r="M6" s="1273" t="s">
        <v>48</v>
      </c>
      <c r="N6" s="1274"/>
      <c r="O6" s="1265" t="s">
        <v>44</v>
      </c>
      <c r="P6" s="1266"/>
      <c r="Q6" s="1264" t="s">
        <v>340</v>
      </c>
      <c r="R6" s="1265"/>
      <c r="S6" s="1266"/>
    </row>
    <row r="7" spans="1:25" ht="38.25" customHeight="1" thickBot="1" x14ac:dyDescent="0.3">
      <c r="A7" s="1251"/>
      <c r="B7" s="1253"/>
      <c r="C7" s="1255"/>
      <c r="D7" s="1257"/>
      <c r="E7" s="1263"/>
      <c r="F7" s="1262"/>
      <c r="G7" s="110"/>
      <c r="H7" s="1263"/>
      <c r="I7" s="1262"/>
      <c r="J7" s="472" t="s">
        <v>5</v>
      </c>
      <c r="K7" s="480" t="s">
        <v>17</v>
      </c>
      <c r="L7" s="481" t="s">
        <v>18</v>
      </c>
      <c r="M7" s="475" t="s">
        <v>47</v>
      </c>
      <c r="N7" s="476" t="s">
        <v>18</v>
      </c>
      <c r="O7" s="482" t="s">
        <v>43</v>
      </c>
      <c r="P7" s="476" t="s">
        <v>42</v>
      </c>
      <c r="Q7" s="458" t="s">
        <v>6</v>
      </c>
      <c r="R7" s="54" t="s">
        <v>18</v>
      </c>
      <c r="S7" s="41" t="s">
        <v>22</v>
      </c>
      <c r="U7" s="2"/>
      <c r="V7" s="2"/>
      <c r="W7" s="82"/>
      <c r="X7" s="2"/>
    </row>
    <row r="8" spans="1:25" ht="24.95" customHeight="1" thickBot="1" x14ac:dyDescent="0.3">
      <c r="A8" s="35" t="s">
        <v>55</v>
      </c>
      <c r="B8" s="9">
        <v>1200</v>
      </c>
      <c r="C8" s="10">
        <v>600</v>
      </c>
      <c r="D8" s="11">
        <v>50</v>
      </c>
      <c r="E8" s="61" t="s">
        <v>46</v>
      </c>
      <c r="F8" s="106"/>
      <c r="G8" s="106"/>
      <c r="H8" s="210" t="s">
        <v>180</v>
      </c>
      <c r="I8" s="196"/>
      <c r="J8" s="45">
        <v>6</v>
      </c>
      <c r="K8" s="181">
        <v>4.32</v>
      </c>
      <c r="L8" s="198">
        <v>0.216</v>
      </c>
      <c r="M8" s="45">
        <v>32</v>
      </c>
      <c r="N8" s="179">
        <v>6.9119999999999999</v>
      </c>
      <c r="O8" s="179">
        <v>76.031999999999996</v>
      </c>
      <c r="P8" s="46"/>
      <c r="Q8" s="88">
        <f>L8*R8</f>
        <v>968.11199999999997</v>
      </c>
      <c r="R8" s="645">
        <v>4482</v>
      </c>
      <c r="S8" s="101">
        <f>R8*D8/1000</f>
        <v>224.1</v>
      </c>
      <c r="U8" s="4"/>
      <c r="V8" s="2"/>
      <c r="W8" s="82"/>
      <c r="X8" s="2"/>
      <c r="Y8" s="2"/>
    </row>
    <row r="9" spans="1:25" ht="24.95" customHeight="1" thickBot="1" x14ac:dyDescent="0.3">
      <c r="A9" s="1297" t="s">
        <v>28</v>
      </c>
      <c r="B9" s="203">
        <v>1200</v>
      </c>
      <c r="C9" s="204">
        <v>600</v>
      </c>
      <c r="D9" s="209">
        <v>60</v>
      </c>
      <c r="E9" s="238" t="s">
        <v>46</v>
      </c>
      <c r="F9" s="263"/>
      <c r="G9" s="263"/>
      <c r="H9" s="264" t="s">
        <v>181</v>
      </c>
      <c r="I9" s="177"/>
      <c r="J9" s="97">
        <v>4</v>
      </c>
      <c r="K9" s="166">
        <v>2.8800000000000003</v>
      </c>
      <c r="L9" s="169">
        <v>0.17280000000000001</v>
      </c>
      <c r="M9" s="97">
        <v>40</v>
      </c>
      <c r="N9" s="166">
        <v>6.9120000000000008</v>
      </c>
      <c r="O9" s="166">
        <v>76.032000000000011</v>
      </c>
      <c r="P9" s="266"/>
      <c r="Q9" s="88">
        <f t="shared" ref="Q9:Q49" si="0">L9*R9</f>
        <v>774.4896</v>
      </c>
      <c r="R9" s="645">
        <f>R8</f>
        <v>4482</v>
      </c>
      <c r="S9" s="101">
        <f t="shared" ref="S9:S49" si="1">R9*D9/1000</f>
        <v>268.92</v>
      </c>
      <c r="U9" s="4"/>
      <c r="V9" s="2"/>
      <c r="W9" s="82"/>
      <c r="X9" s="2"/>
      <c r="Y9" s="2"/>
    </row>
    <row r="10" spans="1:25" ht="24.95" customHeight="1" thickBot="1" x14ac:dyDescent="0.3">
      <c r="A10" s="1297"/>
      <c r="B10" s="203">
        <v>1200</v>
      </c>
      <c r="C10" s="204">
        <v>600</v>
      </c>
      <c r="D10" s="209">
        <v>70</v>
      </c>
      <c r="E10" s="238" t="s">
        <v>46</v>
      </c>
      <c r="F10" s="263"/>
      <c r="G10" s="263"/>
      <c r="H10" s="264" t="s">
        <v>182</v>
      </c>
      <c r="I10" s="177">
        <v>290.30399999999997</v>
      </c>
      <c r="J10" s="97">
        <v>4</v>
      </c>
      <c r="K10" s="166">
        <v>2.8800000000000003</v>
      </c>
      <c r="L10" s="169">
        <v>0.2016</v>
      </c>
      <c r="M10" s="97">
        <v>32</v>
      </c>
      <c r="N10" s="166">
        <v>6.4512</v>
      </c>
      <c r="O10" s="166">
        <v>70.963200000000001</v>
      </c>
      <c r="P10" s="266"/>
      <c r="Q10" s="88">
        <f t="shared" si="0"/>
        <v>903.57119999999998</v>
      </c>
      <c r="R10" s="645">
        <f t="shared" ref="R10:R21" si="2">R9</f>
        <v>4482</v>
      </c>
      <c r="S10" s="101">
        <f t="shared" si="1"/>
        <v>313.74</v>
      </c>
      <c r="U10" s="4"/>
      <c r="V10" s="2"/>
      <c r="W10" s="82"/>
      <c r="X10" s="2"/>
      <c r="Y10" s="2"/>
    </row>
    <row r="11" spans="1:25" ht="24.95" customHeight="1" thickBot="1" x14ac:dyDescent="0.3">
      <c r="A11" s="1297"/>
      <c r="B11" s="203">
        <v>1200</v>
      </c>
      <c r="C11" s="204">
        <v>600</v>
      </c>
      <c r="D11" s="209">
        <v>80</v>
      </c>
      <c r="E11" s="238" t="s">
        <v>46</v>
      </c>
      <c r="F11" s="263">
        <v>100</v>
      </c>
      <c r="G11" s="263">
        <v>14.467592592592592</v>
      </c>
      <c r="H11" s="264" t="s">
        <v>183</v>
      </c>
      <c r="I11" s="177"/>
      <c r="J11" s="97">
        <v>3</v>
      </c>
      <c r="K11" s="166">
        <v>2.16</v>
      </c>
      <c r="L11" s="169">
        <v>0.17280000000000001</v>
      </c>
      <c r="M11" s="97">
        <v>40</v>
      </c>
      <c r="N11" s="166">
        <v>6.9120000000000008</v>
      </c>
      <c r="O11" s="166">
        <v>76.032000000000011</v>
      </c>
      <c r="P11" s="266"/>
      <c r="Q11" s="88">
        <f t="shared" si="0"/>
        <v>774.4896</v>
      </c>
      <c r="R11" s="645">
        <f t="shared" si="2"/>
        <v>4482</v>
      </c>
      <c r="S11" s="101">
        <f t="shared" si="1"/>
        <v>358.56</v>
      </c>
      <c r="U11" s="4"/>
      <c r="V11" s="2"/>
      <c r="W11" s="82"/>
      <c r="X11" s="2"/>
      <c r="Y11" s="2"/>
    </row>
    <row r="12" spans="1:25" ht="24.95" customHeight="1" thickBot="1" x14ac:dyDescent="0.3">
      <c r="A12" s="1297"/>
      <c r="B12" s="203">
        <v>1200</v>
      </c>
      <c r="C12" s="204">
        <v>600</v>
      </c>
      <c r="D12" s="209">
        <v>90</v>
      </c>
      <c r="E12" s="238" t="s">
        <v>46</v>
      </c>
      <c r="F12" s="263">
        <v>100</v>
      </c>
      <c r="G12" s="263">
        <v>16.075102880658438</v>
      </c>
      <c r="H12" s="264" t="s">
        <v>184</v>
      </c>
      <c r="I12" s="177">
        <v>317.26079999999996</v>
      </c>
      <c r="J12" s="97">
        <v>3</v>
      </c>
      <c r="K12" s="166">
        <v>2.16</v>
      </c>
      <c r="L12" s="169">
        <v>0.19439999999999999</v>
      </c>
      <c r="M12" s="97">
        <v>32</v>
      </c>
      <c r="N12" s="166">
        <v>6.2207999999999997</v>
      </c>
      <c r="O12" s="166">
        <v>68.428799999999995</v>
      </c>
      <c r="P12" s="266"/>
      <c r="Q12" s="88">
        <f t="shared" si="0"/>
        <v>871.30079999999998</v>
      </c>
      <c r="R12" s="645">
        <f t="shared" si="2"/>
        <v>4482</v>
      </c>
      <c r="S12" s="101">
        <f t="shared" si="1"/>
        <v>403.38</v>
      </c>
      <c r="U12" s="4"/>
      <c r="V12" s="2"/>
      <c r="W12" s="82"/>
      <c r="X12" s="2"/>
      <c r="Y12" s="2"/>
    </row>
    <row r="13" spans="1:25" ht="24.95" customHeight="1" thickBot="1" x14ac:dyDescent="0.3">
      <c r="A13" s="1297"/>
      <c r="B13" s="203">
        <v>1200</v>
      </c>
      <c r="C13" s="204">
        <v>600</v>
      </c>
      <c r="D13" s="209">
        <v>100</v>
      </c>
      <c r="E13" s="238" t="s">
        <v>46</v>
      </c>
      <c r="F13" s="263"/>
      <c r="G13" s="263">
        <v>0</v>
      </c>
      <c r="H13" s="264" t="s">
        <v>185</v>
      </c>
      <c r="I13" s="177"/>
      <c r="J13" s="97">
        <v>3</v>
      </c>
      <c r="K13" s="166">
        <v>2.16</v>
      </c>
      <c r="L13" s="169">
        <v>0.216</v>
      </c>
      <c r="M13" s="97">
        <v>32</v>
      </c>
      <c r="N13" s="166">
        <v>6.9119999999999999</v>
      </c>
      <c r="O13" s="166">
        <v>76.031999999999996</v>
      </c>
      <c r="P13" s="266"/>
      <c r="Q13" s="88">
        <f t="shared" si="0"/>
        <v>968.11199999999997</v>
      </c>
      <c r="R13" s="645">
        <f t="shared" si="2"/>
        <v>4482</v>
      </c>
      <c r="S13" s="101">
        <f t="shared" si="1"/>
        <v>448.2</v>
      </c>
      <c r="U13" s="4"/>
      <c r="V13" s="2"/>
      <c r="W13" s="82"/>
      <c r="X13" s="2"/>
      <c r="Y13" s="2"/>
    </row>
    <row r="14" spans="1:25" ht="24.95" customHeight="1" thickBot="1" x14ac:dyDescent="0.3">
      <c r="A14" s="1297"/>
      <c r="B14" s="203">
        <v>1200</v>
      </c>
      <c r="C14" s="204">
        <v>600</v>
      </c>
      <c r="D14" s="209">
        <v>110</v>
      </c>
      <c r="E14" s="238" t="s">
        <v>46</v>
      </c>
      <c r="F14" s="263">
        <v>100</v>
      </c>
      <c r="G14" s="263">
        <v>15.031265031265031</v>
      </c>
      <c r="H14" s="264" t="s">
        <v>186</v>
      </c>
      <c r="I14" s="177">
        <v>319.33440000000002</v>
      </c>
      <c r="J14" s="97">
        <v>3</v>
      </c>
      <c r="K14" s="166">
        <v>2.16</v>
      </c>
      <c r="L14" s="169">
        <v>0.23760000000000001</v>
      </c>
      <c r="M14" s="97">
        <v>28</v>
      </c>
      <c r="N14" s="166">
        <v>6.6528</v>
      </c>
      <c r="O14" s="166">
        <v>73.180800000000005</v>
      </c>
      <c r="P14" s="266"/>
      <c r="Q14" s="88">
        <f t="shared" si="0"/>
        <v>1064.9232</v>
      </c>
      <c r="R14" s="645">
        <f t="shared" si="2"/>
        <v>4482</v>
      </c>
      <c r="S14" s="101">
        <f t="shared" si="1"/>
        <v>493.02</v>
      </c>
      <c r="U14" s="4"/>
      <c r="V14" s="2"/>
      <c r="W14" s="82"/>
      <c r="X14" s="2"/>
      <c r="Y14" s="2"/>
    </row>
    <row r="15" spans="1:25" ht="24.95" customHeight="1" thickBot="1" x14ac:dyDescent="0.3">
      <c r="A15" s="1297"/>
      <c r="B15" s="203">
        <v>1200</v>
      </c>
      <c r="C15" s="204">
        <v>600</v>
      </c>
      <c r="D15" s="209">
        <v>120</v>
      </c>
      <c r="E15" s="238" t="s">
        <v>46</v>
      </c>
      <c r="F15" s="263">
        <v>100</v>
      </c>
      <c r="G15" s="263">
        <v>14.467592592592592</v>
      </c>
      <c r="H15" s="264" t="s">
        <v>187</v>
      </c>
      <c r="I15" s="177">
        <v>331.77600000000007</v>
      </c>
      <c r="J15" s="97">
        <v>2</v>
      </c>
      <c r="K15" s="166">
        <v>1.4400000000000002</v>
      </c>
      <c r="L15" s="169">
        <v>0.17280000000000001</v>
      </c>
      <c r="M15" s="97">
        <v>40</v>
      </c>
      <c r="N15" s="166">
        <v>6.9120000000000008</v>
      </c>
      <c r="O15" s="166">
        <v>76.032000000000011</v>
      </c>
      <c r="P15" s="266"/>
      <c r="Q15" s="88">
        <f t="shared" si="0"/>
        <v>774.4896</v>
      </c>
      <c r="R15" s="645">
        <f t="shared" si="2"/>
        <v>4482</v>
      </c>
      <c r="S15" s="101">
        <f t="shared" si="1"/>
        <v>537.84</v>
      </c>
      <c r="U15" s="4"/>
      <c r="V15" s="2"/>
      <c r="W15" s="82"/>
      <c r="X15" s="2"/>
      <c r="Y15" s="2"/>
    </row>
    <row r="16" spans="1:25" ht="24.95" customHeight="1" thickBot="1" x14ac:dyDescent="0.3">
      <c r="A16" s="1297"/>
      <c r="B16" s="203">
        <v>1200</v>
      </c>
      <c r="C16" s="204">
        <v>600</v>
      </c>
      <c r="D16" s="209">
        <v>130</v>
      </c>
      <c r="E16" s="238" t="s">
        <v>46</v>
      </c>
      <c r="F16" s="263">
        <v>100</v>
      </c>
      <c r="G16" s="263">
        <v>14.83855650522317</v>
      </c>
      <c r="H16" s="264" t="s">
        <v>188</v>
      </c>
      <c r="I16" s="177">
        <v>323.48160000000001</v>
      </c>
      <c r="J16" s="97">
        <v>2</v>
      </c>
      <c r="K16" s="166">
        <v>1.4400000000000002</v>
      </c>
      <c r="L16" s="169">
        <v>0.18720000000000001</v>
      </c>
      <c r="M16" s="97">
        <v>36</v>
      </c>
      <c r="N16" s="166">
        <v>6.7392000000000003</v>
      </c>
      <c r="O16" s="166">
        <v>74.131200000000007</v>
      </c>
      <c r="P16" s="266"/>
      <c r="Q16" s="88">
        <f t="shared" si="0"/>
        <v>839.03039999999999</v>
      </c>
      <c r="R16" s="645">
        <f t="shared" si="2"/>
        <v>4482</v>
      </c>
      <c r="S16" s="101">
        <f t="shared" si="1"/>
        <v>582.66</v>
      </c>
      <c r="U16" s="4"/>
      <c r="V16" s="2"/>
      <c r="W16" s="82"/>
      <c r="X16" s="2"/>
      <c r="Y16" s="2"/>
    </row>
    <row r="17" spans="1:25" ht="24.95" customHeight="1" thickBot="1" x14ac:dyDescent="0.3">
      <c r="A17" s="1297"/>
      <c r="B17" s="203">
        <v>1200</v>
      </c>
      <c r="C17" s="204">
        <v>600</v>
      </c>
      <c r="D17" s="209">
        <v>140</v>
      </c>
      <c r="E17" s="238" t="s">
        <v>46</v>
      </c>
      <c r="F17" s="263">
        <v>100</v>
      </c>
      <c r="G17" s="263">
        <v>15.500992063492063</v>
      </c>
      <c r="H17" s="264" t="s">
        <v>189</v>
      </c>
      <c r="I17" s="177">
        <v>309.6576</v>
      </c>
      <c r="J17" s="97">
        <v>2</v>
      </c>
      <c r="K17" s="166">
        <v>1.4400000000000002</v>
      </c>
      <c r="L17" s="169">
        <v>0.2016</v>
      </c>
      <c r="M17" s="97">
        <v>32</v>
      </c>
      <c r="N17" s="166">
        <v>6.4512</v>
      </c>
      <c r="O17" s="166">
        <v>70.963200000000001</v>
      </c>
      <c r="P17" s="266"/>
      <c r="Q17" s="88">
        <f t="shared" si="0"/>
        <v>903.57119999999998</v>
      </c>
      <c r="R17" s="645">
        <f t="shared" si="2"/>
        <v>4482</v>
      </c>
      <c r="S17" s="101">
        <f t="shared" si="1"/>
        <v>627.48</v>
      </c>
      <c r="U17" s="4"/>
      <c r="V17" s="2"/>
      <c r="W17" s="82"/>
      <c r="X17" s="2"/>
      <c r="Y17" s="2"/>
    </row>
    <row r="18" spans="1:25" ht="24.95" customHeight="1" thickBot="1" x14ac:dyDescent="0.3">
      <c r="A18" s="1297"/>
      <c r="B18" s="203">
        <v>1200</v>
      </c>
      <c r="C18" s="204">
        <v>600</v>
      </c>
      <c r="D18" s="209">
        <v>150</v>
      </c>
      <c r="E18" s="238" t="s">
        <v>46</v>
      </c>
      <c r="F18" s="263">
        <v>100</v>
      </c>
      <c r="G18" s="263">
        <v>14.467592592592593</v>
      </c>
      <c r="H18" s="264" t="s">
        <v>190</v>
      </c>
      <c r="I18" s="177">
        <v>331.77600000000001</v>
      </c>
      <c r="J18" s="97">
        <v>2</v>
      </c>
      <c r="K18" s="166">
        <v>1.4400000000000002</v>
      </c>
      <c r="L18" s="169">
        <v>0.216</v>
      </c>
      <c r="M18" s="97">
        <v>32</v>
      </c>
      <c r="N18" s="166">
        <v>6.9119999999999999</v>
      </c>
      <c r="O18" s="166">
        <v>76.031999999999996</v>
      </c>
      <c r="P18" s="266"/>
      <c r="Q18" s="88">
        <f t="shared" si="0"/>
        <v>968.11199999999997</v>
      </c>
      <c r="R18" s="645">
        <f t="shared" si="2"/>
        <v>4482</v>
      </c>
      <c r="S18" s="101">
        <f t="shared" si="1"/>
        <v>672.3</v>
      </c>
      <c r="U18" s="4"/>
      <c r="V18" s="2"/>
      <c r="W18" s="82"/>
      <c r="X18" s="2"/>
      <c r="Y18" s="2"/>
    </row>
    <row r="19" spans="1:25" ht="24.95" customHeight="1" thickBot="1" x14ac:dyDescent="0.3">
      <c r="A19" s="1297"/>
      <c r="B19" s="203">
        <v>1200</v>
      </c>
      <c r="C19" s="204">
        <v>600</v>
      </c>
      <c r="D19" s="209">
        <v>160</v>
      </c>
      <c r="E19" s="238" t="s">
        <v>46</v>
      </c>
      <c r="F19" s="263">
        <v>100</v>
      </c>
      <c r="G19" s="263">
        <v>15.500992063492063</v>
      </c>
      <c r="H19" s="264" t="s">
        <v>259</v>
      </c>
      <c r="I19" s="177">
        <v>309.6576</v>
      </c>
      <c r="J19" s="97">
        <v>2</v>
      </c>
      <c r="K19" s="166">
        <v>1.44</v>
      </c>
      <c r="L19" s="169">
        <v>0.23039999999999999</v>
      </c>
      <c r="M19" s="97">
        <v>28</v>
      </c>
      <c r="N19" s="166">
        <v>6.4512</v>
      </c>
      <c r="O19" s="166">
        <v>70.963200000000001</v>
      </c>
      <c r="P19" s="266"/>
      <c r="Q19" s="88">
        <f t="shared" si="0"/>
        <v>1032.6528000000001</v>
      </c>
      <c r="R19" s="645">
        <f t="shared" si="2"/>
        <v>4482</v>
      </c>
      <c r="S19" s="101">
        <f t="shared" si="1"/>
        <v>717.12</v>
      </c>
      <c r="U19" s="4"/>
      <c r="V19" s="2"/>
      <c r="W19" s="82"/>
      <c r="X19" s="2"/>
      <c r="Y19" s="2"/>
    </row>
    <row r="20" spans="1:25" ht="24.95" customHeight="1" thickBot="1" x14ac:dyDescent="0.3">
      <c r="A20" s="1297"/>
      <c r="B20" s="203">
        <v>1200</v>
      </c>
      <c r="C20" s="204">
        <v>600</v>
      </c>
      <c r="D20" s="209">
        <v>170</v>
      </c>
      <c r="E20" s="238" t="s">
        <v>46</v>
      </c>
      <c r="F20" s="263">
        <v>100</v>
      </c>
      <c r="G20" s="263">
        <v>14.589169000933706</v>
      </c>
      <c r="H20" s="264" t="s">
        <v>191</v>
      </c>
      <c r="I20" s="177">
        <v>329.01120000000003</v>
      </c>
      <c r="J20" s="97">
        <v>2</v>
      </c>
      <c r="K20" s="166">
        <v>1.44</v>
      </c>
      <c r="L20" s="169">
        <v>0.24479999999999999</v>
      </c>
      <c r="M20" s="97">
        <v>28</v>
      </c>
      <c r="N20" s="166">
        <v>6.8544</v>
      </c>
      <c r="O20" s="166">
        <v>75.398399999999995</v>
      </c>
      <c r="P20" s="266"/>
      <c r="Q20" s="88">
        <f t="shared" si="0"/>
        <v>1097.1936000000001</v>
      </c>
      <c r="R20" s="645">
        <f t="shared" si="2"/>
        <v>4482</v>
      </c>
      <c r="S20" s="101">
        <f t="shared" si="1"/>
        <v>761.94</v>
      </c>
      <c r="U20" s="4"/>
      <c r="V20" s="2"/>
      <c r="W20" s="82"/>
      <c r="X20" s="2"/>
      <c r="Y20" s="2"/>
    </row>
    <row r="21" spans="1:25" ht="24.95" customHeight="1" thickBot="1" x14ac:dyDescent="0.3">
      <c r="A21" s="1298"/>
      <c r="B21" s="240">
        <v>1200</v>
      </c>
      <c r="C21" s="241">
        <v>600</v>
      </c>
      <c r="D21" s="242">
        <v>180</v>
      </c>
      <c r="E21" s="295" t="s">
        <v>46</v>
      </c>
      <c r="F21" s="289">
        <v>100</v>
      </c>
      <c r="G21" s="289">
        <v>16.075102880658438</v>
      </c>
      <c r="H21" s="317" t="s">
        <v>260</v>
      </c>
      <c r="I21" s="455">
        <v>298.59839999999997</v>
      </c>
      <c r="J21" s="306">
        <v>2</v>
      </c>
      <c r="K21" s="167">
        <v>1.44</v>
      </c>
      <c r="L21" s="307">
        <v>0.25919999999999999</v>
      </c>
      <c r="M21" s="306">
        <v>24</v>
      </c>
      <c r="N21" s="167">
        <v>6.2207999999999997</v>
      </c>
      <c r="O21" s="167">
        <v>68.428799999999995</v>
      </c>
      <c r="P21" s="308"/>
      <c r="Q21" s="614">
        <f t="shared" si="0"/>
        <v>1161.7344000000001</v>
      </c>
      <c r="R21" s="704">
        <f t="shared" si="2"/>
        <v>4482</v>
      </c>
      <c r="S21" s="615">
        <f t="shared" si="1"/>
        <v>806.76</v>
      </c>
      <c r="U21" s="4"/>
      <c r="V21" s="2"/>
      <c r="W21" s="82"/>
      <c r="X21" s="2"/>
      <c r="Y21" s="2"/>
    </row>
    <row r="22" spans="1:25" ht="24.95" customHeight="1" thickBot="1" x14ac:dyDescent="0.3">
      <c r="A22" s="35" t="s">
        <v>723</v>
      </c>
      <c r="B22" s="9">
        <v>1200</v>
      </c>
      <c r="C22" s="10">
        <v>600</v>
      </c>
      <c r="D22" s="11">
        <v>50</v>
      </c>
      <c r="E22" s="61" t="s">
        <v>46</v>
      </c>
      <c r="F22" s="106"/>
      <c r="G22" s="106"/>
      <c r="H22" s="210" t="s">
        <v>725</v>
      </c>
      <c r="I22" s="196"/>
      <c r="J22" s="45">
        <v>6</v>
      </c>
      <c r="K22" s="181">
        <v>4.32</v>
      </c>
      <c r="L22" s="198">
        <v>0.216</v>
      </c>
      <c r="M22" s="45">
        <v>32</v>
      </c>
      <c r="N22" s="179">
        <v>6.9119999999999999</v>
      </c>
      <c r="O22" s="179">
        <v>76.031999999999996</v>
      </c>
      <c r="P22" s="46"/>
      <c r="Q22" s="88" t="e">
        <f>L22*R22</f>
        <v>#VALUE!</v>
      </c>
      <c r="R22" s="645" t="s">
        <v>528</v>
      </c>
      <c r="S22" s="101" t="e">
        <f>R22*D22/1000</f>
        <v>#VALUE!</v>
      </c>
      <c r="U22" s="4"/>
      <c r="V22" s="2"/>
      <c r="W22" s="82"/>
      <c r="X22" s="2"/>
      <c r="Y22" s="2"/>
    </row>
    <row r="23" spans="1:25" ht="24.95" customHeight="1" thickBot="1" x14ac:dyDescent="0.3">
      <c r="A23" s="1144"/>
      <c r="B23" s="203">
        <v>1200</v>
      </c>
      <c r="C23" s="204">
        <v>600</v>
      </c>
      <c r="D23" s="209">
        <v>60</v>
      </c>
      <c r="E23" s="238" t="s">
        <v>46</v>
      </c>
      <c r="F23" s="263"/>
      <c r="G23" s="263"/>
      <c r="H23" s="264" t="s">
        <v>726</v>
      </c>
      <c r="I23" s="177"/>
      <c r="J23" s="97">
        <v>4</v>
      </c>
      <c r="K23" s="166">
        <v>2.8800000000000003</v>
      </c>
      <c r="L23" s="169">
        <v>0.17280000000000001</v>
      </c>
      <c r="M23" s="97">
        <v>40</v>
      </c>
      <c r="N23" s="166">
        <v>6.9120000000000008</v>
      </c>
      <c r="O23" s="166">
        <v>76.032000000000011</v>
      </c>
      <c r="P23" s="266"/>
      <c r="Q23" s="88" t="e">
        <f t="shared" ref="Q23:Q32" si="3">L23*R23</f>
        <v>#VALUE!</v>
      </c>
      <c r="R23" s="645" t="str">
        <f>R22</f>
        <v>-</v>
      </c>
      <c r="S23" s="101" t="e">
        <f t="shared" ref="S23:S32" si="4">R23*D23/1000</f>
        <v>#VALUE!</v>
      </c>
      <c r="U23" s="4"/>
      <c r="V23" s="2"/>
      <c r="W23" s="82"/>
      <c r="X23" s="2"/>
      <c r="Y23" s="2"/>
    </row>
    <row r="24" spans="1:25" ht="24.95" customHeight="1" thickBot="1" x14ac:dyDescent="0.3">
      <c r="A24" s="1144"/>
      <c r="B24" s="203">
        <v>1200</v>
      </c>
      <c r="C24" s="204">
        <v>600</v>
      </c>
      <c r="D24" s="209">
        <v>70</v>
      </c>
      <c r="E24" s="238" t="s">
        <v>46</v>
      </c>
      <c r="F24" s="263"/>
      <c r="G24" s="263"/>
      <c r="H24" s="264" t="s">
        <v>727</v>
      </c>
      <c r="I24" s="177">
        <v>290.30399999999997</v>
      </c>
      <c r="J24" s="97">
        <v>4</v>
      </c>
      <c r="K24" s="166">
        <v>2.8800000000000003</v>
      </c>
      <c r="L24" s="169">
        <v>0.2016</v>
      </c>
      <c r="M24" s="97">
        <v>32</v>
      </c>
      <c r="N24" s="166">
        <v>6.4512</v>
      </c>
      <c r="O24" s="166">
        <v>70.963200000000001</v>
      </c>
      <c r="P24" s="266"/>
      <c r="Q24" s="88" t="e">
        <f t="shared" si="3"/>
        <v>#VALUE!</v>
      </c>
      <c r="R24" s="645" t="str">
        <f t="shared" ref="R24:R32" si="5">R23</f>
        <v>-</v>
      </c>
      <c r="S24" s="101" t="e">
        <f t="shared" si="4"/>
        <v>#VALUE!</v>
      </c>
      <c r="U24" s="4"/>
      <c r="V24" s="2"/>
      <c r="W24" s="82"/>
      <c r="X24" s="2"/>
      <c r="Y24" s="2"/>
    </row>
    <row r="25" spans="1:25" ht="24.95" customHeight="1" thickBot="1" x14ac:dyDescent="0.3">
      <c r="A25" s="1144"/>
      <c r="B25" s="203">
        <v>1200</v>
      </c>
      <c r="C25" s="204">
        <v>600</v>
      </c>
      <c r="D25" s="209">
        <v>80</v>
      </c>
      <c r="E25" s="238" t="s">
        <v>46</v>
      </c>
      <c r="F25" s="263">
        <v>100</v>
      </c>
      <c r="G25" s="263">
        <v>14.467592592592592</v>
      </c>
      <c r="H25" s="264" t="s">
        <v>728</v>
      </c>
      <c r="I25" s="177"/>
      <c r="J25" s="97">
        <v>3</v>
      </c>
      <c r="K25" s="166">
        <v>2.16</v>
      </c>
      <c r="L25" s="169">
        <v>0.17280000000000001</v>
      </c>
      <c r="M25" s="97">
        <v>40</v>
      </c>
      <c r="N25" s="166">
        <v>6.9120000000000008</v>
      </c>
      <c r="O25" s="166">
        <v>76.032000000000011</v>
      </c>
      <c r="P25" s="266"/>
      <c r="Q25" s="88" t="e">
        <f t="shared" si="3"/>
        <v>#VALUE!</v>
      </c>
      <c r="R25" s="645" t="str">
        <f t="shared" si="5"/>
        <v>-</v>
      </c>
      <c r="S25" s="101" t="e">
        <f t="shared" si="4"/>
        <v>#VALUE!</v>
      </c>
      <c r="U25" s="4"/>
      <c r="V25" s="2"/>
      <c r="W25" s="82"/>
      <c r="X25" s="2"/>
      <c r="Y25" s="2"/>
    </row>
    <row r="26" spans="1:25" ht="24.95" customHeight="1" thickBot="1" x14ac:dyDescent="0.3">
      <c r="A26" s="1144"/>
      <c r="B26" s="203">
        <v>1200</v>
      </c>
      <c r="C26" s="204">
        <v>600</v>
      </c>
      <c r="D26" s="209">
        <v>90</v>
      </c>
      <c r="E26" s="238" t="s">
        <v>46</v>
      </c>
      <c r="F26" s="263">
        <v>100</v>
      </c>
      <c r="G26" s="263">
        <v>16.075102880658438</v>
      </c>
      <c r="H26" s="264"/>
      <c r="I26" s="177">
        <v>317.26079999999996</v>
      </c>
      <c r="J26" s="97">
        <v>3</v>
      </c>
      <c r="K26" s="166">
        <v>2.16</v>
      </c>
      <c r="L26" s="169">
        <v>0.19439999999999999</v>
      </c>
      <c r="M26" s="97">
        <v>32</v>
      </c>
      <c r="N26" s="166">
        <v>6.2207999999999997</v>
      </c>
      <c r="O26" s="166">
        <v>68.428799999999995</v>
      </c>
      <c r="P26" s="266"/>
      <c r="Q26" s="88" t="e">
        <f t="shared" si="3"/>
        <v>#VALUE!</v>
      </c>
      <c r="R26" s="645" t="str">
        <f t="shared" si="5"/>
        <v>-</v>
      </c>
      <c r="S26" s="101" t="e">
        <f t="shared" si="4"/>
        <v>#VALUE!</v>
      </c>
      <c r="U26" s="4"/>
      <c r="V26" s="2"/>
      <c r="W26" s="82"/>
      <c r="X26" s="2"/>
      <c r="Y26" s="2"/>
    </row>
    <row r="27" spans="1:25" ht="24.95" customHeight="1" thickBot="1" x14ac:dyDescent="0.3">
      <c r="A27" s="1144"/>
      <c r="B27" s="203">
        <v>1200</v>
      </c>
      <c r="C27" s="204">
        <v>600</v>
      </c>
      <c r="D27" s="209">
        <v>100</v>
      </c>
      <c r="E27" s="238" t="s">
        <v>46</v>
      </c>
      <c r="F27" s="263"/>
      <c r="G27" s="263">
        <v>0</v>
      </c>
      <c r="H27" s="264" t="s">
        <v>729</v>
      </c>
      <c r="I27" s="177"/>
      <c r="J27" s="97">
        <v>3</v>
      </c>
      <c r="K27" s="166">
        <v>2.16</v>
      </c>
      <c r="L27" s="169">
        <v>0.216</v>
      </c>
      <c r="M27" s="97">
        <v>32</v>
      </c>
      <c r="N27" s="166">
        <v>6.9119999999999999</v>
      </c>
      <c r="O27" s="166">
        <v>76.031999999999996</v>
      </c>
      <c r="P27" s="266"/>
      <c r="Q27" s="88" t="e">
        <f t="shared" si="3"/>
        <v>#VALUE!</v>
      </c>
      <c r="R27" s="645" t="str">
        <f t="shared" si="5"/>
        <v>-</v>
      </c>
      <c r="S27" s="101" t="e">
        <f t="shared" si="4"/>
        <v>#VALUE!</v>
      </c>
      <c r="U27" s="4"/>
      <c r="V27" s="2"/>
      <c r="W27" s="82"/>
      <c r="X27" s="2"/>
      <c r="Y27" s="2"/>
    </row>
    <row r="28" spans="1:25" ht="24.95" customHeight="1" thickBot="1" x14ac:dyDescent="0.3">
      <c r="A28" s="1144"/>
      <c r="B28" s="203">
        <v>1200</v>
      </c>
      <c r="C28" s="204">
        <v>600</v>
      </c>
      <c r="D28" s="209">
        <v>110</v>
      </c>
      <c r="E28" s="238" t="s">
        <v>46</v>
      </c>
      <c r="F28" s="263">
        <v>100</v>
      </c>
      <c r="G28" s="263">
        <v>15.031265031265031</v>
      </c>
      <c r="H28" s="264"/>
      <c r="I28" s="177">
        <v>319.33440000000002</v>
      </c>
      <c r="J28" s="97">
        <v>3</v>
      </c>
      <c r="K28" s="166">
        <v>2.16</v>
      </c>
      <c r="L28" s="169">
        <v>0.23760000000000001</v>
      </c>
      <c r="M28" s="97">
        <v>28</v>
      </c>
      <c r="N28" s="166">
        <v>6.6528</v>
      </c>
      <c r="O28" s="166">
        <v>73.180800000000005</v>
      </c>
      <c r="P28" s="266"/>
      <c r="Q28" s="88" t="e">
        <f t="shared" si="3"/>
        <v>#VALUE!</v>
      </c>
      <c r="R28" s="645" t="str">
        <f t="shared" si="5"/>
        <v>-</v>
      </c>
      <c r="S28" s="101" t="e">
        <f t="shared" si="4"/>
        <v>#VALUE!</v>
      </c>
      <c r="U28" s="4"/>
      <c r="V28" s="2"/>
      <c r="W28" s="82"/>
      <c r="X28" s="2"/>
      <c r="Y28" s="2"/>
    </row>
    <row r="29" spans="1:25" ht="24.95" customHeight="1" thickBot="1" x14ac:dyDescent="0.3">
      <c r="A29" s="1144"/>
      <c r="B29" s="203">
        <v>1200</v>
      </c>
      <c r="C29" s="204">
        <v>600</v>
      </c>
      <c r="D29" s="209">
        <v>120</v>
      </c>
      <c r="E29" s="238" t="s">
        <v>46</v>
      </c>
      <c r="F29" s="263">
        <v>100</v>
      </c>
      <c r="G29" s="263">
        <v>14.467592592592592</v>
      </c>
      <c r="H29" s="264" t="s">
        <v>732</v>
      </c>
      <c r="I29" s="177">
        <v>331.77600000000007</v>
      </c>
      <c r="J29" s="97">
        <v>2</v>
      </c>
      <c r="K29" s="166">
        <v>1.4400000000000002</v>
      </c>
      <c r="L29" s="169">
        <v>0.17280000000000001</v>
      </c>
      <c r="M29" s="97">
        <v>40</v>
      </c>
      <c r="N29" s="166">
        <v>6.9120000000000008</v>
      </c>
      <c r="O29" s="166">
        <v>76.032000000000011</v>
      </c>
      <c r="P29" s="266"/>
      <c r="Q29" s="88" t="e">
        <f t="shared" si="3"/>
        <v>#VALUE!</v>
      </c>
      <c r="R29" s="645" t="str">
        <f t="shared" si="5"/>
        <v>-</v>
      </c>
      <c r="S29" s="101" t="e">
        <f t="shared" si="4"/>
        <v>#VALUE!</v>
      </c>
      <c r="U29" s="4"/>
      <c r="V29" s="2"/>
      <c r="W29" s="82"/>
      <c r="X29" s="2"/>
      <c r="Y29" s="2"/>
    </row>
    <row r="30" spans="1:25" ht="24.95" customHeight="1" thickBot="1" x14ac:dyDescent="0.3">
      <c r="A30" s="1144"/>
      <c r="B30" s="203">
        <v>1200</v>
      </c>
      <c r="C30" s="204">
        <v>600</v>
      </c>
      <c r="D30" s="209">
        <v>130</v>
      </c>
      <c r="E30" s="238" t="s">
        <v>46</v>
      </c>
      <c r="F30" s="263">
        <v>100</v>
      </c>
      <c r="G30" s="263">
        <v>14.83855650522317</v>
      </c>
      <c r="H30" s="264"/>
      <c r="I30" s="177">
        <v>323.48160000000001</v>
      </c>
      <c r="J30" s="97">
        <v>2</v>
      </c>
      <c r="K30" s="166">
        <v>1.4400000000000002</v>
      </c>
      <c r="L30" s="169">
        <v>0.18720000000000001</v>
      </c>
      <c r="M30" s="97">
        <v>36</v>
      </c>
      <c r="N30" s="166">
        <v>6.7392000000000003</v>
      </c>
      <c r="O30" s="166">
        <v>74.131200000000007</v>
      </c>
      <c r="P30" s="266"/>
      <c r="Q30" s="88" t="e">
        <f t="shared" si="3"/>
        <v>#VALUE!</v>
      </c>
      <c r="R30" s="645" t="str">
        <f t="shared" si="5"/>
        <v>-</v>
      </c>
      <c r="S30" s="101" t="e">
        <f t="shared" si="4"/>
        <v>#VALUE!</v>
      </c>
      <c r="U30" s="4"/>
      <c r="V30" s="2"/>
      <c r="W30" s="82"/>
      <c r="X30" s="2"/>
      <c r="Y30" s="2"/>
    </row>
    <row r="31" spans="1:25" ht="24.95" customHeight="1" thickBot="1" x14ac:dyDescent="0.3">
      <c r="A31" s="1144"/>
      <c r="B31" s="203">
        <v>1200</v>
      </c>
      <c r="C31" s="204">
        <v>600</v>
      </c>
      <c r="D31" s="209">
        <v>140</v>
      </c>
      <c r="E31" s="238" t="s">
        <v>46</v>
      </c>
      <c r="F31" s="263">
        <v>100</v>
      </c>
      <c r="G31" s="263">
        <v>15.500992063492063</v>
      </c>
      <c r="H31" s="264" t="s">
        <v>730</v>
      </c>
      <c r="I31" s="177">
        <v>309.6576</v>
      </c>
      <c r="J31" s="97">
        <v>2</v>
      </c>
      <c r="K31" s="166">
        <v>1.4400000000000002</v>
      </c>
      <c r="L31" s="169">
        <v>0.2016</v>
      </c>
      <c r="M31" s="97">
        <v>32</v>
      </c>
      <c r="N31" s="166">
        <v>6.4512</v>
      </c>
      <c r="O31" s="166">
        <v>70.963200000000001</v>
      </c>
      <c r="P31" s="266"/>
      <c r="Q31" s="88" t="e">
        <f t="shared" si="3"/>
        <v>#VALUE!</v>
      </c>
      <c r="R31" s="645" t="str">
        <f t="shared" si="5"/>
        <v>-</v>
      </c>
      <c r="S31" s="101" t="e">
        <f t="shared" si="4"/>
        <v>#VALUE!</v>
      </c>
      <c r="U31" s="4"/>
      <c r="V31" s="2"/>
      <c r="W31" s="82"/>
      <c r="X31" s="2"/>
      <c r="Y31" s="2"/>
    </row>
    <row r="32" spans="1:25" ht="24.95" customHeight="1" thickBot="1" x14ac:dyDescent="0.3">
      <c r="A32" s="1145"/>
      <c r="B32" s="240">
        <v>1200</v>
      </c>
      <c r="C32" s="241">
        <v>600</v>
      </c>
      <c r="D32" s="242">
        <v>150</v>
      </c>
      <c r="E32" s="295" t="s">
        <v>46</v>
      </c>
      <c r="F32" s="289">
        <v>100</v>
      </c>
      <c r="G32" s="289">
        <v>14.467592592592593</v>
      </c>
      <c r="H32" s="317" t="s">
        <v>731</v>
      </c>
      <c r="I32" s="455">
        <v>331.77600000000001</v>
      </c>
      <c r="J32" s="306">
        <v>2</v>
      </c>
      <c r="K32" s="167">
        <v>1.4400000000000002</v>
      </c>
      <c r="L32" s="307">
        <v>0.216</v>
      </c>
      <c r="M32" s="306">
        <v>32</v>
      </c>
      <c r="N32" s="167">
        <v>6.9119999999999999</v>
      </c>
      <c r="O32" s="167">
        <v>76.031999999999996</v>
      </c>
      <c r="P32" s="308"/>
      <c r="Q32" s="614" t="e">
        <f t="shared" si="3"/>
        <v>#VALUE!</v>
      </c>
      <c r="R32" s="704" t="str">
        <f t="shared" si="5"/>
        <v>-</v>
      </c>
      <c r="S32" s="615" t="e">
        <f t="shared" si="4"/>
        <v>#VALUE!</v>
      </c>
      <c r="U32" s="4"/>
      <c r="V32" s="2"/>
      <c r="W32" s="82"/>
      <c r="X32" s="2"/>
      <c r="Y32" s="2"/>
    </row>
    <row r="33" spans="1:24" ht="22.5" customHeight="1" thickBot="1" x14ac:dyDescent="0.3">
      <c r="A33" s="1147" t="s">
        <v>14</v>
      </c>
      <c r="B33" s="249">
        <v>1200</v>
      </c>
      <c r="C33" s="287">
        <v>600</v>
      </c>
      <c r="D33" s="288">
        <v>50</v>
      </c>
      <c r="E33" s="664" t="s">
        <v>239</v>
      </c>
      <c r="F33" s="319"/>
      <c r="G33" s="319">
        <v>0</v>
      </c>
      <c r="H33" s="310" t="s">
        <v>702</v>
      </c>
      <c r="I33" s="178"/>
      <c r="J33" s="320">
        <v>4</v>
      </c>
      <c r="K33" s="312">
        <v>2.88</v>
      </c>
      <c r="L33" s="132">
        <v>0.14399999999999999</v>
      </c>
      <c r="M33" s="133">
        <v>48</v>
      </c>
      <c r="N33" s="168">
        <v>6.9119999999999999</v>
      </c>
      <c r="O33" s="168">
        <v>76.031999999999996</v>
      </c>
      <c r="P33" s="612"/>
      <c r="Q33" s="88">
        <f>L33*R33</f>
        <v>891.50399999999991</v>
      </c>
      <c r="R33" s="259">
        <v>6191</v>
      </c>
      <c r="S33" s="101">
        <f>R33*D33/1000</f>
        <v>309.55</v>
      </c>
      <c r="U33" s="80"/>
      <c r="V33" s="2"/>
      <c r="X33" s="2"/>
    </row>
    <row r="34" spans="1:24" ht="22.5" customHeight="1" thickBot="1" x14ac:dyDescent="0.3">
      <c r="A34" s="1299" t="s">
        <v>32</v>
      </c>
      <c r="B34" s="203">
        <v>1200</v>
      </c>
      <c r="C34" s="204">
        <v>600</v>
      </c>
      <c r="D34" s="209">
        <v>60</v>
      </c>
      <c r="E34" s="238" t="s">
        <v>46</v>
      </c>
      <c r="F34" s="263">
        <v>71.428571428571431</v>
      </c>
      <c r="G34" s="263">
        <v>10.333994708994709</v>
      </c>
      <c r="H34" s="264" t="s">
        <v>192</v>
      </c>
      <c r="I34" s="177">
        <v>311.04000000000002</v>
      </c>
      <c r="J34" s="98">
        <v>4</v>
      </c>
      <c r="K34" s="166">
        <v>2.8800000000000003</v>
      </c>
      <c r="L34" s="126">
        <v>0.17280000000000001</v>
      </c>
      <c r="M34" s="127">
        <v>40</v>
      </c>
      <c r="N34" s="166">
        <v>6.9120000000000008</v>
      </c>
      <c r="O34" s="166">
        <v>76.032000000000011</v>
      </c>
      <c r="P34" s="266"/>
      <c r="Q34" s="88">
        <f t="shared" si="0"/>
        <v>1069.8048000000001</v>
      </c>
      <c r="R34" s="124">
        <f>R33</f>
        <v>6191</v>
      </c>
      <c r="S34" s="101">
        <f t="shared" si="1"/>
        <v>371.46</v>
      </c>
      <c r="U34" s="80"/>
      <c r="V34" s="2"/>
      <c r="W34" s="82"/>
      <c r="X34" s="2"/>
    </row>
    <row r="35" spans="1:24" ht="22.5" customHeight="1" thickBot="1" x14ac:dyDescent="0.3">
      <c r="A35" s="1299"/>
      <c r="B35" s="203">
        <v>1200</v>
      </c>
      <c r="C35" s="204">
        <v>600</v>
      </c>
      <c r="D35" s="209">
        <v>70</v>
      </c>
      <c r="E35" s="238" t="s">
        <v>46</v>
      </c>
      <c r="F35" s="263">
        <v>71.428571428571431</v>
      </c>
      <c r="G35" s="263">
        <v>10.736617879475023</v>
      </c>
      <c r="H35" s="264" t="s">
        <v>193</v>
      </c>
      <c r="I35" s="177">
        <v>299.37599999999998</v>
      </c>
      <c r="J35" s="97">
        <v>3</v>
      </c>
      <c r="K35" s="168">
        <v>2.16</v>
      </c>
      <c r="L35" s="126">
        <v>0.1512</v>
      </c>
      <c r="M35" s="127">
        <v>44</v>
      </c>
      <c r="N35" s="166">
        <v>6.6528</v>
      </c>
      <c r="O35" s="166">
        <v>73.180800000000005</v>
      </c>
      <c r="P35" s="266"/>
      <c r="Q35" s="88">
        <f t="shared" si="0"/>
        <v>936.07920000000001</v>
      </c>
      <c r="R35" s="124">
        <f t="shared" ref="R35:R47" si="6">R34</f>
        <v>6191</v>
      </c>
      <c r="S35" s="101">
        <f t="shared" si="1"/>
        <v>433.37</v>
      </c>
      <c r="U35" s="80"/>
      <c r="V35" s="2"/>
      <c r="W35" s="82"/>
      <c r="X35" s="2"/>
    </row>
    <row r="36" spans="1:24" ht="22.5" customHeight="1" thickBot="1" x14ac:dyDescent="0.3">
      <c r="A36" s="1299"/>
      <c r="B36" s="203">
        <v>1200</v>
      </c>
      <c r="C36" s="204">
        <v>600</v>
      </c>
      <c r="D36" s="209">
        <v>80</v>
      </c>
      <c r="E36" s="238" t="s">
        <v>46</v>
      </c>
      <c r="F36" s="263">
        <v>71.428571428571431</v>
      </c>
      <c r="G36" s="263">
        <v>10.333994708994709</v>
      </c>
      <c r="H36" s="264" t="s">
        <v>194</v>
      </c>
      <c r="I36" s="177">
        <v>311.04000000000002</v>
      </c>
      <c r="J36" s="97">
        <v>3</v>
      </c>
      <c r="K36" s="166">
        <v>2.16</v>
      </c>
      <c r="L36" s="126">
        <v>0.17280000000000001</v>
      </c>
      <c r="M36" s="222">
        <v>40</v>
      </c>
      <c r="N36" s="166">
        <v>6.9120000000000008</v>
      </c>
      <c r="O36" s="166">
        <v>76.032000000000011</v>
      </c>
      <c r="P36" s="266"/>
      <c r="Q36" s="88">
        <f t="shared" si="0"/>
        <v>1069.8048000000001</v>
      </c>
      <c r="R36" s="124">
        <f t="shared" si="6"/>
        <v>6191</v>
      </c>
      <c r="S36" s="101">
        <f t="shared" si="1"/>
        <v>495.28</v>
      </c>
      <c r="U36" s="80"/>
      <c r="V36" s="2"/>
      <c r="W36" s="82"/>
      <c r="X36" s="2"/>
    </row>
    <row r="37" spans="1:24" ht="22.5" customHeight="1" thickBot="1" x14ac:dyDescent="0.3">
      <c r="A37" s="1299"/>
      <c r="B37" s="203">
        <v>1200</v>
      </c>
      <c r="C37" s="204">
        <v>600</v>
      </c>
      <c r="D37" s="209">
        <v>90</v>
      </c>
      <c r="E37" s="238" t="s">
        <v>46</v>
      </c>
      <c r="F37" s="263">
        <v>71.428571428571431</v>
      </c>
      <c r="G37" s="263">
        <v>11.482216343327455</v>
      </c>
      <c r="H37" s="264" t="s">
        <v>703</v>
      </c>
      <c r="I37" s="177"/>
      <c r="J37" s="97">
        <v>2</v>
      </c>
      <c r="K37" s="166">
        <v>1.44</v>
      </c>
      <c r="L37" s="126">
        <v>0.12959999999999999</v>
      </c>
      <c r="M37" s="127">
        <v>52</v>
      </c>
      <c r="N37" s="227">
        <v>6.7392000000000003</v>
      </c>
      <c r="O37" s="166">
        <v>74.131200000000007</v>
      </c>
      <c r="P37" s="266"/>
      <c r="Q37" s="88">
        <f t="shared" si="0"/>
        <v>802.35359999999991</v>
      </c>
      <c r="R37" s="124">
        <f t="shared" si="6"/>
        <v>6191</v>
      </c>
      <c r="S37" s="101">
        <f t="shared" si="1"/>
        <v>557.19000000000005</v>
      </c>
      <c r="U37" s="80"/>
      <c r="V37" s="2"/>
      <c r="W37" s="82"/>
      <c r="X37" s="2"/>
    </row>
    <row r="38" spans="1:24" ht="22.5" customHeight="1" thickBot="1" x14ac:dyDescent="0.3">
      <c r="A38" s="1299"/>
      <c r="B38" s="203">
        <v>1200</v>
      </c>
      <c r="C38" s="204">
        <v>600</v>
      </c>
      <c r="D38" s="209">
        <v>100</v>
      </c>
      <c r="E38" s="238" t="s">
        <v>46</v>
      </c>
      <c r="F38" s="263"/>
      <c r="G38" s="263"/>
      <c r="H38" s="264" t="s">
        <v>195</v>
      </c>
      <c r="I38" s="177"/>
      <c r="J38" s="97">
        <v>3</v>
      </c>
      <c r="K38" s="166">
        <v>2.16</v>
      </c>
      <c r="L38" s="126">
        <v>0.216</v>
      </c>
      <c r="M38" s="133">
        <v>32</v>
      </c>
      <c r="N38" s="166">
        <v>6.9119999999999999</v>
      </c>
      <c r="O38" s="166">
        <v>76.031999999999996</v>
      </c>
      <c r="P38" s="266"/>
      <c r="Q38" s="88">
        <f t="shared" si="0"/>
        <v>1337.2560000000001</v>
      </c>
      <c r="R38" s="124">
        <f>R37</f>
        <v>6191</v>
      </c>
      <c r="S38" s="101">
        <f t="shared" si="1"/>
        <v>619.1</v>
      </c>
      <c r="U38" s="80"/>
      <c r="V38" s="2"/>
      <c r="X38" s="2"/>
    </row>
    <row r="39" spans="1:24" ht="22.5" customHeight="1" thickBot="1" x14ac:dyDescent="0.3">
      <c r="A39" s="1299"/>
      <c r="B39" s="203">
        <v>1200</v>
      </c>
      <c r="C39" s="204">
        <v>600</v>
      </c>
      <c r="D39" s="209">
        <v>110</v>
      </c>
      <c r="E39" s="238" t="s">
        <v>46</v>
      </c>
      <c r="F39" s="263">
        <v>71.428571428571431</v>
      </c>
      <c r="G39" s="263">
        <v>11.273448773448774</v>
      </c>
      <c r="H39" s="264" t="s">
        <v>196</v>
      </c>
      <c r="I39" s="177">
        <v>228.09600000000003</v>
      </c>
      <c r="J39" s="97">
        <v>2</v>
      </c>
      <c r="K39" s="166">
        <v>1.4400000000000002</v>
      </c>
      <c r="L39" s="126">
        <v>0.15840000000000001</v>
      </c>
      <c r="M39" s="127">
        <v>40</v>
      </c>
      <c r="N39" s="166">
        <v>6.3360000000000003</v>
      </c>
      <c r="O39" s="166">
        <v>69.695999999999998</v>
      </c>
      <c r="P39" s="266"/>
      <c r="Q39" s="88">
        <f t="shared" si="0"/>
        <v>980.65440000000012</v>
      </c>
      <c r="R39" s="124">
        <f t="shared" si="6"/>
        <v>6191</v>
      </c>
      <c r="S39" s="101">
        <f t="shared" si="1"/>
        <v>681.01</v>
      </c>
      <c r="U39" s="80"/>
      <c r="V39" s="2"/>
      <c r="W39" s="82"/>
      <c r="X39" s="2"/>
    </row>
    <row r="40" spans="1:24" ht="22.5" customHeight="1" thickBot="1" x14ac:dyDescent="0.3">
      <c r="A40" s="1299"/>
      <c r="B40" s="203">
        <v>1200</v>
      </c>
      <c r="C40" s="204">
        <v>600</v>
      </c>
      <c r="D40" s="209">
        <v>120</v>
      </c>
      <c r="E40" s="238" t="s">
        <v>46</v>
      </c>
      <c r="F40" s="263">
        <v>71.428571428571431</v>
      </c>
      <c r="G40" s="263">
        <v>10.333994708994709</v>
      </c>
      <c r="H40" s="264" t="s">
        <v>197</v>
      </c>
      <c r="I40" s="177">
        <v>248.83200000000005</v>
      </c>
      <c r="J40" s="97">
        <v>2</v>
      </c>
      <c r="K40" s="166">
        <v>1.4400000000000002</v>
      </c>
      <c r="L40" s="126">
        <v>0.17280000000000001</v>
      </c>
      <c r="M40" s="127">
        <v>40</v>
      </c>
      <c r="N40" s="166">
        <v>6.9120000000000008</v>
      </c>
      <c r="O40" s="166">
        <v>76.032000000000011</v>
      </c>
      <c r="P40" s="266"/>
      <c r="Q40" s="88">
        <f t="shared" si="0"/>
        <v>1069.8048000000001</v>
      </c>
      <c r="R40" s="124">
        <f t="shared" si="6"/>
        <v>6191</v>
      </c>
      <c r="S40" s="101">
        <f t="shared" si="1"/>
        <v>742.92</v>
      </c>
      <c r="U40" s="80"/>
      <c r="V40" s="2"/>
      <c r="W40" s="82"/>
      <c r="X40" s="2"/>
    </row>
    <row r="41" spans="1:24" ht="22.5" customHeight="1" thickBot="1" x14ac:dyDescent="0.3">
      <c r="A41" s="1299"/>
      <c r="B41" s="203">
        <v>1200</v>
      </c>
      <c r="C41" s="204">
        <v>600</v>
      </c>
      <c r="D41" s="209">
        <v>130</v>
      </c>
      <c r="E41" s="238" t="s">
        <v>46</v>
      </c>
      <c r="F41" s="263">
        <v>71.428571428571431</v>
      </c>
      <c r="G41" s="263">
        <v>10.598968932302265</v>
      </c>
      <c r="H41" s="264" t="s">
        <v>263</v>
      </c>
      <c r="I41" s="177">
        <v>242.6112</v>
      </c>
      <c r="J41" s="97">
        <v>2</v>
      </c>
      <c r="K41" s="166">
        <v>1.4400000000000002</v>
      </c>
      <c r="L41" s="126">
        <v>0.18720000000000001</v>
      </c>
      <c r="M41" s="127">
        <v>36</v>
      </c>
      <c r="N41" s="166">
        <v>6.7392000000000003</v>
      </c>
      <c r="O41" s="166">
        <v>74.131200000000007</v>
      </c>
      <c r="P41" s="266"/>
      <c r="Q41" s="88">
        <f t="shared" si="0"/>
        <v>1158.9552000000001</v>
      </c>
      <c r="R41" s="124">
        <f t="shared" si="6"/>
        <v>6191</v>
      </c>
      <c r="S41" s="101">
        <f t="shared" si="1"/>
        <v>804.83</v>
      </c>
      <c r="U41" s="80"/>
      <c r="V41" s="2"/>
      <c r="W41" s="82"/>
      <c r="X41" s="2"/>
    </row>
    <row r="42" spans="1:24" ht="22.5" customHeight="1" thickBot="1" x14ac:dyDescent="0.3">
      <c r="A42" s="1299"/>
      <c r="B42" s="203">
        <v>1200</v>
      </c>
      <c r="C42" s="204">
        <v>600</v>
      </c>
      <c r="D42" s="209">
        <v>140</v>
      </c>
      <c r="E42" s="238" t="s">
        <v>46</v>
      </c>
      <c r="F42" s="263">
        <v>71.428571428571431</v>
      </c>
      <c r="G42" s="263">
        <v>11.072137188208616</v>
      </c>
      <c r="H42" s="264" t="s">
        <v>264</v>
      </c>
      <c r="I42" s="177">
        <v>232.2432</v>
      </c>
      <c r="J42" s="97">
        <v>2</v>
      </c>
      <c r="K42" s="166">
        <v>1.4400000000000002</v>
      </c>
      <c r="L42" s="126">
        <v>0.2016</v>
      </c>
      <c r="M42" s="127">
        <v>32</v>
      </c>
      <c r="N42" s="166">
        <v>6.4512</v>
      </c>
      <c r="O42" s="166">
        <v>70.963200000000001</v>
      </c>
      <c r="P42" s="266"/>
      <c r="Q42" s="88">
        <f t="shared" si="0"/>
        <v>1248.1056000000001</v>
      </c>
      <c r="R42" s="124">
        <f t="shared" si="6"/>
        <v>6191</v>
      </c>
      <c r="S42" s="101">
        <f t="shared" si="1"/>
        <v>866.74</v>
      </c>
      <c r="U42" s="80"/>
      <c r="V42" s="2"/>
      <c r="W42" s="82"/>
      <c r="X42" s="2"/>
    </row>
    <row r="43" spans="1:24" ht="22.5" customHeight="1" thickBot="1" x14ac:dyDescent="0.3">
      <c r="A43" s="1299"/>
      <c r="B43" s="203">
        <v>1200</v>
      </c>
      <c r="C43" s="204">
        <v>600</v>
      </c>
      <c r="D43" s="209">
        <v>150</v>
      </c>
      <c r="E43" s="238" t="s">
        <v>46</v>
      </c>
      <c r="F43" s="263">
        <v>71.428571428571431</v>
      </c>
      <c r="G43" s="263">
        <v>10.333994708994709</v>
      </c>
      <c r="H43" s="264" t="s">
        <v>198</v>
      </c>
      <c r="I43" s="177">
        <v>248.83199999999999</v>
      </c>
      <c r="J43" s="97">
        <v>2</v>
      </c>
      <c r="K43" s="166">
        <v>1.4400000000000002</v>
      </c>
      <c r="L43" s="126">
        <v>0.216</v>
      </c>
      <c r="M43" s="127">
        <v>32</v>
      </c>
      <c r="N43" s="166">
        <v>6.9119999999999999</v>
      </c>
      <c r="O43" s="166">
        <v>76.031999999999996</v>
      </c>
      <c r="P43" s="266"/>
      <c r="Q43" s="88">
        <f t="shared" si="0"/>
        <v>1337.2560000000001</v>
      </c>
      <c r="R43" s="124">
        <f t="shared" si="6"/>
        <v>6191</v>
      </c>
      <c r="S43" s="101">
        <f t="shared" si="1"/>
        <v>928.65</v>
      </c>
      <c r="U43" s="80"/>
      <c r="V43" s="2"/>
      <c r="W43" s="82"/>
      <c r="X43" s="2"/>
    </row>
    <row r="44" spans="1:24" ht="22.5" customHeight="1" thickBot="1" x14ac:dyDescent="0.3">
      <c r="A44" s="1299"/>
      <c r="B44" s="203">
        <v>1200</v>
      </c>
      <c r="C44" s="204">
        <v>600</v>
      </c>
      <c r="D44" s="209">
        <v>160</v>
      </c>
      <c r="E44" s="238" t="s">
        <v>46</v>
      </c>
      <c r="F44" s="263">
        <v>71.428571428571431</v>
      </c>
      <c r="G44" s="263">
        <v>11.072137188208616</v>
      </c>
      <c r="H44" s="264" t="s">
        <v>265</v>
      </c>
      <c r="I44" s="177">
        <v>232.2432</v>
      </c>
      <c r="J44" s="97">
        <v>2</v>
      </c>
      <c r="K44" s="166">
        <v>1.44</v>
      </c>
      <c r="L44" s="126">
        <v>0.23039999999999999</v>
      </c>
      <c r="M44" s="127">
        <v>28</v>
      </c>
      <c r="N44" s="166">
        <v>6.4512</v>
      </c>
      <c r="O44" s="166">
        <v>70.963200000000001</v>
      </c>
      <c r="P44" s="266"/>
      <c r="Q44" s="88">
        <f t="shared" si="0"/>
        <v>1426.4063999999998</v>
      </c>
      <c r="R44" s="124">
        <f t="shared" si="6"/>
        <v>6191</v>
      </c>
      <c r="S44" s="101">
        <f t="shared" si="1"/>
        <v>990.56</v>
      </c>
      <c r="U44" s="80"/>
      <c r="V44" s="2"/>
      <c r="W44" s="82"/>
      <c r="X44" s="2"/>
    </row>
    <row r="45" spans="1:24" ht="22.5" customHeight="1" thickBot="1" x14ac:dyDescent="0.3">
      <c r="A45" s="1299"/>
      <c r="B45" s="203">
        <v>1200</v>
      </c>
      <c r="C45" s="204">
        <v>600</v>
      </c>
      <c r="D45" s="209">
        <v>170</v>
      </c>
      <c r="E45" s="238" t="s">
        <v>46</v>
      </c>
      <c r="F45" s="263">
        <v>71.428571428571431</v>
      </c>
      <c r="G45" s="263">
        <v>10.420835000666933</v>
      </c>
      <c r="H45" s="264" t="s">
        <v>266</v>
      </c>
      <c r="I45" s="177">
        <v>246.75840000000002</v>
      </c>
      <c r="J45" s="97">
        <v>2</v>
      </c>
      <c r="K45" s="166">
        <v>1.44</v>
      </c>
      <c r="L45" s="126">
        <v>0.24479999999999999</v>
      </c>
      <c r="M45" s="127">
        <v>28</v>
      </c>
      <c r="N45" s="166">
        <v>6.8544</v>
      </c>
      <c r="O45" s="166">
        <v>75.398399999999995</v>
      </c>
      <c r="P45" s="266"/>
      <c r="Q45" s="88">
        <f t="shared" si="0"/>
        <v>1515.5567999999998</v>
      </c>
      <c r="R45" s="124">
        <f t="shared" si="6"/>
        <v>6191</v>
      </c>
      <c r="S45" s="101">
        <f t="shared" si="1"/>
        <v>1052.47</v>
      </c>
      <c r="U45" s="80"/>
      <c r="V45" s="2"/>
      <c r="W45" s="82"/>
      <c r="X45" s="2"/>
    </row>
    <row r="46" spans="1:24" ht="22.5" customHeight="1" thickBot="1" x14ac:dyDescent="0.3">
      <c r="A46" s="1299"/>
      <c r="B46" s="203">
        <v>1200</v>
      </c>
      <c r="C46" s="204">
        <v>600</v>
      </c>
      <c r="D46" s="209">
        <v>180</v>
      </c>
      <c r="E46" s="238" t="s">
        <v>46</v>
      </c>
      <c r="F46" s="263">
        <v>71.428571428571431</v>
      </c>
      <c r="G46" s="263">
        <v>11.482216343327455</v>
      </c>
      <c r="H46" s="264" t="s">
        <v>267</v>
      </c>
      <c r="I46" s="177">
        <v>223.94879999999998</v>
      </c>
      <c r="J46" s="97">
        <v>2</v>
      </c>
      <c r="K46" s="166">
        <v>1.44</v>
      </c>
      <c r="L46" s="126">
        <v>0.25919999999999999</v>
      </c>
      <c r="M46" s="127">
        <v>24</v>
      </c>
      <c r="N46" s="166">
        <v>6.2207999999999997</v>
      </c>
      <c r="O46" s="166">
        <v>68.428799999999995</v>
      </c>
      <c r="P46" s="266"/>
      <c r="Q46" s="88">
        <f t="shared" si="0"/>
        <v>1604.7071999999998</v>
      </c>
      <c r="R46" s="124">
        <f t="shared" si="6"/>
        <v>6191</v>
      </c>
      <c r="S46" s="101">
        <f t="shared" si="1"/>
        <v>1114.3800000000001</v>
      </c>
      <c r="U46" s="80"/>
      <c r="V46" s="2"/>
      <c r="W46" s="82"/>
      <c r="X46" s="2"/>
    </row>
    <row r="47" spans="1:24" ht="22.5" customHeight="1" thickBot="1" x14ac:dyDescent="0.3">
      <c r="A47" s="1299"/>
      <c r="B47" s="268">
        <v>1200</v>
      </c>
      <c r="C47" s="269">
        <v>600</v>
      </c>
      <c r="D47" s="270">
        <v>190</v>
      </c>
      <c r="E47" s="271" t="s">
        <v>46</v>
      </c>
      <c r="F47" s="272">
        <v>71.428571428571431</v>
      </c>
      <c r="G47" s="272">
        <v>10.877889167362852</v>
      </c>
      <c r="H47" s="273" t="s">
        <v>268</v>
      </c>
      <c r="I47" s="177">
        <v>236.39039999999997</v>
      </c>
      <c r="J47" s="274">
        <v>2</v>
      </c>
      <c r="K47" s="275">
        <v>1.4400000000000002</v>
      </c>
      <c r="L47" s="255">
        <v>0.27360000000000001</v>
      </c>
      <c r="M47" s="222">
        <v>24</v>
      </c>
      <c r="N47" s="275">
        <v>6.5663999999999998</v>
      </c>
      <c r="O47" s="275">
        <v>72.230400000000003</v>
      </c>
      <c r="P47" s="266"/>
      <c r="Q47" s="479">
        <f t="shared" si="0"/>
        <v>1693.8576</v>
      </c>
      <c r="R47" s="124">
        <f t="shared" si="6"/>
        <v>6191</v>
      </c>
      <c r="S47" s="102">
        <f t="shared" si="1"/>
        <v>1176.29</v>
      </c>
      <c r="U47" s="80"/>
      <c r="V47" s="2"/>
      <c r="W47" s="82"/>
      <c r="X47" s="2"/>
    </row>
    <row r="48" spans="1:24" ht="22.5" customHeight="1" thickBot="1" x14ac:dyDescent="0.3">
      <c r="A48" s="35" t="s">
        <v>25</v>
      </c>
      <c r="B48" s="252">
        <v>1200</v>
      </c>
      <c r="C48" s="250">
        <v>600</v>
      </c>
      <c r="D48" s="251">
        <v>40</v>
      </c>
      <c r="E48" s="238" t="s">
        <v>239</v>
      </c>
      <c r="F48" s="277"/>
      <c r="G48" s="278"/>
      <c r="H48" s="279" t="s">
        <v>705</v>
      </c>
      <c r="I48" s="280"/>
      <c r="J48" s="281">
        <v>5</v>
      </c>
      <c r="K48" s="282">
        <v>3.6</v>
      </c>
      <c r="L48" s="283">
        <v>0.14399999999999999</v>
      </c>
      <c r="M48" s="284">
        <v>48</v>
      </c>
      <c r="N48" s="282">
        <v>6.9119999999999999</v>
      </c>
      <c r="O48" s="282">
        <v>76.031999999999996</v>
      </c>
      <c r="P48" s="285"/>
      <c r="Q48" s="88">
        <f>L48*R48</f>
        <v>1137.5999999999999</v>
      </c>
      <c r="R48" s="646">
        <v>7900</v>
      </c>
      <c r="S48" s="101">
        <f>R48*D48/1000</f>
        <v>316</v>
      </c>
      <c r="U48" s="80"/>
      <c r="V48" s="2"/>
      <c r="W48" s="82"/>
      <c r="X48" s="2"/>
    </row>
    <row r="49" spans="1:25" ht="22.5" customHeight="1" thickBot="1" x14ac:dyDescent="0.3">
      <c r="A49" s="1295" t="s">
        <v>29</v>
      </c>
      <c r="B49" s="203">
        <v>1200</v>
      </c>
      <c r="C49" s="287">
        <v>600</v>
      </c>
      <c r="D49" s="288">
        <v>50</v>
      </c>
      <c r="E49" s="238" t="s">
        <v>239</v>
      </c>
      <c r="F49" s="289"/>
      <c r="G49" s="263"/>
      <c r="H49" s="290" t="s">
        <v>704</v>
      </c>
      <c r="I49" s="291"/>
      <c r="J49" s="97">
        <v>4</v>
      </c>
      <c r="K49" s="166">
        <v>2.88</v>
      </c>
      <c r="L49" s="126">
        <v>0.14399999999999999</v>
      </c>
      <c r="M49" s="127">
        <v>48</v>
      </c>
      <c r="N49" s="166">
        <v>6.9119999999999999</v>
      </c>
      <c r="O49" s="166">
        <v>76.031999999999996</v>
      </c>
      <c r="P49" s="266"/>
      <c r="Q49" s="88">
        <f t="shared" si="0"/>
        <v>1137.5999999999999</v>
      </c>
      <c r="R49" s="124">
        <v>7900</v>
      </c>
      <c r="S49" s="101">
        <f t="shared" si="1"/>
        <v>395</v>
      </c>
      <c r="U49" s="80"/>
      <c r="V49" s="2"/>
      <c r="X49" s="2"/>
    </row>
    <row r="50" spans="1:25" ht="22.5" customHeight="1" thickBot="1" x14ac:dyDescent="0.3">
      <c r="A50" s="1296"/>
      <c r="B50" s="292"/>
      <c r="C50" s="293"/>
      <c r="D50" s="294"/>
      <c r="E50" s="295"/>
      <c r="F50" s="289"/>
      <c r="G50" s="289"/>
      <c r="H50" s="296"/>
      <c r="I50" s="297"/>
      <c r="J50" s="298"/>
      <c r="K50" s="299"/>
      <c r="L50" s="300"/>
      <c r="M50" s="301"/>
      <c r="N50" s="299"/>
      <c r="O50" s="299"/>
      <c r="P50" s="302"/>
      <c r="Q50" s="303"/>
      <c r="R50" s="304"/>
      <c r="S50" s="305"/>
      <c r="U50" s="80"/>
      <c r="V50" s="2"/>
      <c r="X50" s="2"/>
    </row>
    <row r="51" spans="1:25" ht="20.100000000000001" customHeight="1" x14ac:dyDescent="0.25">
      <c r="A51" s="18"/>
      <c r="B51" s="134"/>
      <c r="C51" s="134"/>
      <c r="D51" s="134"/>
      <c r="E51" s="138"/>
      <c r="F51" s="138"/>
      <c r="G51" s="138"/>
      <c r="H51" s="138"/>
      <c r="I51" s="138"/>
      <c r="J51" s="135"/>
      <c r="K51" s="134"/>
      <c r="L51" s="261"/>
      <c r="M51" s="135"/>
      <c r="N51" s="137"/>
      <c r="O51" s="134"/>
      <c r="P51" s="261"/>
      <c r="Q51" s="134"/>
      <c r="R51" s="134"/>
      <c r="S51" s="134"/>
    </row>
    <row r="52" spans="1:25" ht="18.75" customHeight="1" x14ac:dyDescent="0.25">
      <c r="A52" s="1" t="s">
        <v>7</v>
      </c>
      <c r="E52" s="2"/>
      <c r="F52" s="2"/>
      <c r="G52" s="2"/>
      <c r="H52" s="2"/>
      <c r="I52" s="2"/>
      <c r="O52" s="1275" t="s">
        <v>21</v>
      </c>
      <c r="P52" s="1275"/>
      <c r="Q52" s="1275"/>
      <c r="R52" s="1275"/>
      <c r="S52" s="1275"/>
      <c r="U52" s="2"/>
      <c r="V52" s="2"/>
      <c r="W52" s="82"/>
      <c r="X52" s="2"/>
      <c r="Y52" s="2"/>
    </row>
    <row r="53" spans="1:25" s="32" customFormat="1" ht="20.100000000000001" customHeight="1" x14ac:dyDescent="0.25">
      <c r="A53" s="471" t="s">
        <v>342</v>
      </c>
      <c r="J53" s="33"/>
      <c r="L53" s="34"/>
      <c r="M53" s="33"/>
      <c r="N53" s="59"/>
      <c r="O53" s="1244" t="s">
        <v>40</v>
      </c>
      <c r="P53" s="1244"/>
      <c r="Q53" s="1244"/>
      <c r="R53" s="1244"/>
      <c r="S53" s="1244"/>
      <c r="W53" s="84"/>
    </row>
    <row r="54" spans="1:25" ht="20.100000000000001" customHeight="1" x14ac:dyDescent="0.25">
      <c r="A54" s="26" t="s">
        <v>23</v>
      </c>
      <c r="E54" s="2"/>
      <c r="F54" s="2"/>
      <c r="G54" s="2"/>
      <c r="H54" s="2"/>
      <c r="I54" s="2"/>
      <c r="O54" s="1244" t="s">
        <v>39</v>
      </c>
      <c r="P54" s="1244"/>
      <c r="Q54" s="1244"/>
      <c r="R54" s="1244"/>
      <c r="S54" s="1244"/>
      <c r="U54" s="2"/>
      <c r="V54" s="2"/>
      <c r="W54" s="82"/>
      <c r="X54" s="2"/>
      <c r="Y54" s="2"/>
    </row>
    <row r="55" spans="1:25" ht="20.100000000000001" customHeight="1" x14ac:dyDescent="0.25">
      <c r="A55" s="26" t="s">
        <v>24</v>
      </c>
      <c r="E55" s="2"/>
      <c r="F55" s="2"/>
      <c r="G55" s="2"/>
      <c r="H55" s="2"/>
      <c r="I55" s="2"/>
      <c r="O55" s="1245" t="s">
        <v>37</v>
      </c>
      <c r="P55" s="1245"/>
      <c r="Q55" s="1245"/>
      <c r="R55" s="1245"/>
      <c r="S55" s="1245"/>
      <c r="U55" s="2"/>
      <c r="V55" s="2"/>
      <c r="W55" s="82"/>
      <c r="X55" s="2"/>
      <c r="Y55" s="2"/>
    </row>
    <row r="56" spans="1:25" ht="20.100000000000001" customHeight="1" x14ac:dyDescent="0.25">
      <c r="A56" s="26" t="s">
        <v>52</v>
      </c>
      <c r="E56" s="2"/>
      <c r="F56" s="2"/>
      <c r="G56" s="2"/>
      <c r="H56" s="2"/>
      <c r="I56" s="2"/>
      <c r="Q56" s="1245" t="s">
        <v>38</v>
      </c>
      <c r="R56" s="1245"/>
      <c r="S56" s="1245"/>
      <c r="T56" s="74"/>
      <c r="U56" s="81"/>
      <c r="V56" s="2"/>
      <c r="W56" s="82"/>
      <c r="X56" s="2"/>
      <c r="Y56" s="2"/>
    </row>
    <row r="57" spans="1:25" ht="20.100000000000001" customHeight="1" x14ac:dyDescent="0.25">
      <c r="A57" s="30" t="s">
        <v>54</v>
      </c>
      <c r="E57" s="2"/>
      <c r="F57" s="2"/>
      <c r="G57" s="4"/>
      <c r="H57" s="2"/>
      <c r="I57" s="5"/>
      <c r="K57" s="56"/>
      <c r="U57" s="2"/>
      <c r="V57" s="2"/>
      <c r="W57" s="82"/>
      <c r="X57" s="2"/>
      <c r="Y57" s="2"/>
    </row>
    <row r="58" spans="1:25" ht="20.100000000000001" customHeight="1" x14ac:dyDescent="0.25">
      <c r="A58" s="30" t="s">
        <v>240</v>
      </c>
      <c r="E58" s="2"/>
      <c r="F58" s="2"/>
      <c r="G58" s="4"/>
      <c r="H58" s="2"/>
      <c r="I58" s="5"/>
      <c r="K58" s="56"/>
      <c r="U58" s="2"/>
      <c r="V58" s="2"/>
      <c r="W58" s="82"/>
      <c r="X58" s="2"/>
      <c r="Y58" s="2"/>
    </row>
    <row r="59" spans="1:25" ht="20.100000000000001" customHeight="1" x14ac:dyDescent="0.25">
      <c r="A59" s="30" t="s">
        <v>241</v>
      </c>
      <c r="E59" s="2"/>
      <c r="F59" s="2"/>
      <c r="G59" s="4"/>
      <c r="H59" s="2"/>
      <c r="I59" s="5"/>
      <c r="K59" s="56"/>
      <c r="U59" s="2"/>
      <c r="V59" s="2"/>
      <c r="W59" s="82"/>
      <c r="X59" s="2"/>
      <c r="Y59" s="2"/>
    </row>
    <row r="60" spans="1:25" ht="20.100000000000001" customHeight="1" x14ac:dyDescent="0.25">
      <c r="A60" s="31"/>
      <c r="E60" s="2"/>
      <c r="F60" s="2"/>
      <c r="G60" s="2"/>
      <c r="H60" s="2"/>
      <c r="I60" s="2"/>
      <c r="U60" s="2"/>
      <c r="V60" s="2"/>
      <c r="W60" s="82"/>
      <c r="X60" s="2"/>
      <c r="Y60" s="2"/>
    </row>
    <row r="61" spans="1:25" ht="20.100000000000001" customHeight="1" x14ac:dyDescent="0.25">
      <c r="E61" s="2"/>
      <c r="F61" s="2"/>
      <c r="G61" s="2"/>
      <c r="H61" s="2"/>
      <c r="I61" s="2"/>
      <c r="U61" s="2"/>
      <c r="V61" s="2"/>
      <c r="W61" s="82"/>
      <c r="X61" s="2"/>
      <c r="Y61" s="2"/>
    </row>
    <row r="62" spans="1:25" ht="19.5" customHeight="1" x14ac:dyDescent="0.25">
      <c r="A62" s="2"/>
      <c r="E62" s="2"/>
      <c r="F62" s="2"/>
      <c r="G62" s="2"/>
      <c r="H62" s="2"/>
      <c r="I62" s="2"/>
      <c r="U62" s="2"/>
      <c r="V62" s="2"/>
      <c r="W62" s="82"/>
      <c r="X62" s="2"/>
      <c r="Y62" s="2"/>
    </row>
    <row r="63" spans="1:25" ht="20.100000000000001" customHeight="1" x14ac:dyDescent="0.25">
      <c r="A63" s="2"/>
      <c r="E63" s="2"/>
      <c r="F63" s="2"/>
      <c r="G63" s="2"/>
      <c r="H63" s="2"/>
      <c r="I63" s="2"/>
      <c r="U63" s="2"/>
      <c r="V63" s="2"/>
      <c r="W63" s="82"/>
      <c r="X63" s="2"/>
      <c r="Y63" s="2"/>
    </row>
    <row r="64" spans="1:25" ht="20.100000000000001" customHeight="1" x14ac:dyDescent="0.25">
      <c r="A64" s="2"/>
      <c r="C64" s="19"/>
      <c r="D64" s="20"/>
      <c r="E64" s="20"/>
      <c r="F64" s="20"/>
      <c r="G64" s="20"/>
      <c r="H64" s="20"/>
      <c r="I64" s="20"/>
      <c r="J64" s="21"/>
      <c r="K64" s="20"/>
      <c r="L64" s="22"/>
      <c r="M64" s="69"/>
      <c r="N64" s="60"/>
      <c r="O64" s="20"/>
      <c r="P64" s="22"/>
      <c r="Q64" s="22"/>
      <c r="R64" s="22"/>
      <c r="S64" s="22"/>
      <c r="U64" s="2"/>
      <c r="V64" s="2"/>
      <c r="W64" s="82"/>
      <c r="X64" s="2"/>
      <c r="Y64" s="2"/>
    </row>
    <row r="65" spans="2:25" ht="20.100000000000001" customHeight="1" x14ac:dyDescent="0.25">
      <c r="C65" s="23"/>
      <c r="D65" s="20"/>
      <c r="E65" s="20"/>
      <c r="F65" s="20"/>
      <c r="G65" s="20"/>
      <c r="H65" s="20"/>
      <c r="I65" s="20"/>
      <c r="J65" s="21"/>
      <c r="K65" s="20"/>
      <c r="L65" s="24"/>
      <c r="M65" s="70"/>
      <c r="N65" s="60"/>
      <c r="O65" s="20"/>
      <c r="P65" s="24"/>
      <c r="Q65" s="24"/>
      <c r="R65" s="24"/>
      <c r="S65" s="24"/>
      <c r="U65" s="2"/>
      <c r="V65" s="2"/>
      <c r="W65" s="82"/>
      <c r="X65" s="2"/>
      <c r="Y65" s="2"/>
    </row>
    <row r="66" spans="2:25" ht="20.100000000000001" customHeight="1" x14ac:dyDescent="0.25">
      <c r="C66" s="23"/>
      <c r="D66" s="20"/>
      <c r="E66" s="20"/>
      <c r="F66" s="20"/>
      <c r="G66" s="20"/>
      <c r="H66" s="20"/>
      <c r="I66" s="20"/>
      <c r="J66" s="21"/>
      <c r="K66" s="20"/>
      <c r="L66" s="24"/>
      <c r="M66" s="70"/>
      <c r="N66" s="60"/>
      <c r="O66" s="20"/>
      <c r="P66" s="24"/>
      <c r="Q66" s="24"/>
      <c r="R66" s="24"/>
      <c r="S66" s="24"/>
      <c r="U66" s="2"/>
      <c r="V66" s="2"/>
      <c r="W66" s="82"/>
      <c r="X66" s="2"/>
      <c r="Y66" s="2"/>
    </row>
    <row r="68" spans="2:25" x14ac:dyDescent="0.25">
      <c r="B68" s="25"/>
    </row>
  </sheetData>
  <mergeCells count="21">
    <mergeCell ref="O52:S52"/>
    <mergeCell ref="O53:S53"/>
    <mergeCell ref="O54:S54"/>
    <mergeCell ref="O55:S55"/>
    <mergeCell ref="Q56:S56"/>
    <mergeCell ref="A49:A50"/>
    <mergeCell ref="A4:S4"/>
    <mergeCell ref="A6:A7"/>
    <mergeCell ref="B6:B7"/>
    <mergeCell ref="C6:C7"/>
    <mergeCell ref="D6:D7"/>
    <mergeCell ref="E6:E7"/>
    <mergeCell ref="F6:F7"/>
    <mergeCell ref="H6:H7"/>
    <mergeCell ref="I6:I7"/>
    <mergeCell ref="J6:L6"/>
    <mergeCell ref="M6:N6"/>
    <mergeCell ref="O6:P6"/>
    <mergeCell ref="Q6:S6"/>
    <mergeCell ref="A9:A21"/>
    <mergeCell ref="A34:A47"/>
  </mergeCells>
  <hyperlinks>
    <hyperlink ref="O55" r:id="rId1"/>
    <hyperlink ref="Q56" r:id="rId2"/>
  </hyperlinks>
  <printOptions horizontalCentered="1"/>
  <pageMargins left="0.19685039370078741" right="0.19685039370078741" top="0.39370078740157483" bottom="0" header="0" footer="0"/>
  <pageSetup paperSize="9" scale="40" orientation="portrait" verticalDpi="1" r:id="rId3"/>
  <headerFooter alignWithMargins="0"/>
  <drawing r:id="rId4"/>
  <legacyDrawing r:id="rId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4">
    <tabColor rgb="FFFF0000"/>
  </sheetPr>
  <dimension ref="A1:O112"/>
  <sheetViews>
    <sheetView view="pageBreakPreview" zoomScaleNormal="100" zoomScaleSheetLayoutView="100" workbookViewId="0">
      <selection activeCell="B94" sqref="B94:K94"/>
    </sheetView>
  </sheetViews>
  <sheetFormatPr defaultRowHeight="12" x14ac:dyDescent="0.2"/>
  <cols>
    <col min="1" max="1" width="35.5703125" style="334" customWidth="1"/>
    <col min="2" max="2" width="6.5703125" style="334" customWidth="1"/>
    <col min="3" max="3" width="5" style="330" customWidth="1"/>
    <col min="4" max="4" width="4.28515625" style="331" customWidth="1"/>
    <col min="5" max="5" width="3.5703125" style="331" customWidth="1"/>
    <col min="6" max="6" width="3.85546875" style="331" customWidth="1"/>
    <col min="7" max="7" width="4.7109375" style="331" customWidth="1"/>
    <col min="8" max="8" width="5.42578125" style="332" customWidth="1"/>
    <col min="9" max="9" width="5.7109375" style="332" customWidth="1"/>
    <col min="10" max="10" width="5.85546875" style="332" customWidth="1"/>
    <col min="11" max="12" width="6" style="332" customWidth="1"/>
    <col min="13" max="13" width="6.140625" style="332" customWidth="1"/>
    <col min="14" max="14" width="4.5703125" style="332" customWidth="1"/>
    <col min="15" max="15" width="5.5703125" style="332" customWidth="1"/>
    <col min="16" max="16384" width="9.140625" style="332"/>
  </cols>
  <sheetData>
    <row r="1" spans="1:15" ht="15.75" customHeight="1" x14ac:dyDescent="0.2">
      <c r="A1" s="328" t="s">
        <v>286</v>
      </c>
      <c r="B1" s="329"/>
    </row>
    <row r="2" spans="1:15" ht="11.25" customHeight="1" thickBot="1" x14ac:dyDescent="0.25">
      <c r="A2" s="333" t="s">
        <v>287</v>
      </c>
      <c r="I2" s="1323" t="s">
        <v>288</v>
      </c>
      <c r="J2" s="1323"/>
      <c r="K2" s="1323"/>
      <c r="L2" s="1323"/>
      <c r="M2" s="1323"/>
      <c r="N2" s="1322">
        <v>40605</v>
      </c>
      <c r="O2" s="1322"/>
    </row>
    <row r="3" spans="1:15" s="335" customFormat="1" ht="39.75" customHeight="1" x14ac:dyDescent="0.2">
      <c r="A3" s="1324" t="s">
        <v>0</v>
      </c>
      <c r="B3" s="1326" t="s">
        <v>281</v>
      </c>
      <c r="C3" s="1328" t="s">
        <v>1</v>
      </c>
      <c r="D3" s="1330" t="s">
        <v>2</v>
      </c>
      <c r="E3" s="1332" t="s">
        <v>3</v>
      </c>
      <c r="F3" s="1319" t="s">
        <v>289</v>
      </c>
      <c r="G3" s="1319" t="s">
        <v>290</v>
      </c>
      <c r="H3" s="1321"/>
      <c r="I3" s="1319" t="s">
        <v>291</v>
      </c>
      <c r="J3" s="1335"/>
      <c r="K3" s="1319" t="s">
        <v>292</v>
      </c>
      <c r="L3" s="1321"/>
      <c r="M3" s="1319" t="s">
        <v>340</v>
      </c>
      <c r="N3" s="1320"/>
      <c r="O3" s="1321"/>
    </row>
    <row r="4" spans="1:15" s="335" customFormat="1" ht="31.5" customHeight="1" thickBot="1" x14ac:dyDescent="0.25">
      <c r="A4" s="1325"/>
      <c r="B4" s="1327"/>
      <c r="C4" s="1329"/>
      <c r="D4" s="1331"/>
      <c r="E4" s="1333"/>
      <c r="F4" s="1334"/>
      <c r="G4" s="768" t="s">
        <v>5</v>
      </c>
      <c r="H4" s="336" t="s">
        <v>293</v>
      </c>
      <c r="I4" s="768" t="s">
        <v>47</v>
      </c>
      <c r="J4" s="337" t="s">
        <v>293</v>
      </c>
      <c r="K4" s="768" t="s">
        <v>294</v>
      </c>
      <c r="L4" s="336" t="s">
        <v>295</v>
      </c>
      <c r="M4" s="768" t="s">
        <v>6</v>
      </c>
      <c r="N4" s="460" t="s">
        <v>293</v>
      </c>
      <c r="O4" s="336" t="s">
        <v>296</v>
      </c>
    </row>
    <row r="5" spans="1:15" ht="15" customHeight="1" x14ac:dyDescent="0.2">
      <c r="A5" s="376" t="s">
        <v>548</v>
      </c>
      <c r="B5" s="601">
        <v>372998</v>
      </c>
      <c r="C5" s="349">
        <v>1200</v>
      </c>
      <c r="D5" s="350">
        <v>600</v>
      </c>
      <c r="E5" s="394">
        <v>50</v>
      </c>
      <c r="F5" s="351" t="s">
        <v>297</v>
      </c>
      <c r="G5" s="352">
        <v>8</v>
      </c>
      <c r="H5" s="353">
        <v>0.28799999999999998</v>
      </c>
      <c r="I5" s="352">
        <v>24</v>
      </c>
      <c r="J5" s="354">
        <v>6.9119999999999999</v>
      </c>
      <c r="K5" s="355">
        <v>76.031999999999996</v>
      </c>
      <c r="L5" s="353">
        <v>103.68</v>
      </c>
      <c r="M5" s="356">
        <f>N5*H5</f>
        <v>337.536</v>
      </c>
      <c r="N5" s="617">
        <v>1172</v>
      </c>
      <c r="O5" s="357">
        <f>N5*E5/1000</f>
        <v>58.6</v>
      </c>
    </row>
    <row r="6" spans="1:15" ht="15" customHeight="1" x14ac:dyDescent="0.2">
      <c r="A6" s="347" t="s">
        <v>298</v>
      </c>
      <c r="B6" s="601">
        <v>36932</v>
      </c>
      <c r="C6" s="349">
        <v>1200</v>
      </c>
      <c r="D6" s="350">
        <v>600</v>
      </c>
      <c r="E6" s="394">
        <v>50</v>
      </c>
      <c r="F6" s="351" t="s">
        <v>297</v>
      </c>
      <c r="G6" s="352">
        <v>12</v>
      </c>
      <c r="H6" s="353">
        <v>0.432</v>
      </c>
      <c r="I6" s="352">
        <v>16</v>
      </c>
      <c r="J6" s="354">
        <v>6.9119999999999999</v>
      </c>
      <c r="K6" s="355">
        <v>76.031999999999996</v>
      </c>
      <c r="L6" s="353">
        <v>103.68</v>
      </c>
      <c r="M6" s="356">
        <f>N6*H6</f>
        <v>506.30399999999997</v>
      </c>
      <c r="N6" s="617">
        <f>N5</f>
        <v>1172</v>
      </c>
      <c r="O6" s="357">
        <f>N6*E6/1000</f>
        <v>58.6</v>
      </c>
    </row>
    <row r="7" spans="1:15" ht="15" customHeight="1" x14ac:dyDescent="0.2">
      <c r="A7" s="347"/>
      <c r="B7" s="671">
        <v>404303</v>
      </c>
      <c r="C7" s="349">
        <v>1200</v>
      </c>
      <c r="D7" s="350">
        <v>600</v>
      </c>
      <c r="E7" s="394">
        <v>50</v>
      </c>
      <c r="F7" s="351" t="s">
        <v>297</v>
      </c>
      <c r="G7" s="352">
        <v>12</v>
      </c>
      <c r="H7" s="353">
        <v>0.432</v>
      </c>
      <c r="I7" s="352">
        <v>24</v>
      </c>
      <c r="J7" s="354">
        <f>H7*I7</f>
        <v>10.368</v>
      </c>
      <c r="K7" s="355">
        <f>J7*11</f>
        <v>114.048</v>
      </c>
      <c r="L7" s="353"/>
      <c r="M7" s="356">
        <f>N7*H7</f>
        <v>520.55999999999995</v>
      </c>
      <c r="N7" s="670">
        <v>1205</v>
      </c>
      <c r="O7" s="357">
        <f t="shared" ref="O7:O70" si="0">N7*E7/1000</f>
        <v>60.25</v>
      </c>
    </row>
    <row r="8" spans="1:15" ht="15" customHeight="1" x14ac:dyDescent="0.2">
      <c r="A8" s="794"/>
      <c r="B8" s="856">
        <v>334999</v>
      </c>
      <c r="C8" s="358">
        <v>1200</v>
      </c>
      <c r="D8" s="359">
        <v>600</v>
      </c>
      <c r="E8" s="394">
        <v>100</v>
      </c>
      <c r="F8" s="351"/>
      <c r="G8" s="360"/>
      <c r="H8" s="361"/>
      <c r="I8" s="362"/>
      <c r="J8" s="363"/>
      <c r="K8" s="364">
        <v>95.04</v>
      </c>
      <c r="L8" s="353">
        <v>103.68</v>
      </c>
      <c r="M8" s="356">
        <f t="shared" ref="M8" si="1">N8*H8</f>
        <v>0</v>
      </c>
      <c r="N8" s="346">
        <v>1455</v>
      </c>
      <c r="O8" s="357">
        <f t="shared" si="0"/>
        <v>145.5</v>
      </c>
    </row>
    <row r="9" spans="1:15" ht="15" customHeight="1" x14ac:dyDescent="0.2">
      <c r="A9" s="794"/>
      <c r="B9" s="601" t="s">
        <v>299</v>
      </c>
      <c r="C9" s="358">
        <v>1200</v>
      </c>
      <c r="D9" s="359">
        <v>600</v>
      </c>
      <c r="E9" s="394">
        <v>100</v>
      </c>
      <c r="F9" s="351" t="s">
        <v>297</v>
      </c>
      <c r="G9" s="360">
        <v>6</v>
      </c>
      <c r="H9" s="361">
        <v>0.432</v>
      </c>
      <c r="I9" s="362">
        <v>16</v>
      </c>
      <c r="J9" s="363">
        <v>6.9119999999999999</v>
      </c>
      <c r="K9" s="364">
        <v>76.031999999999996</v>
      </c>
      <c r="L9" s="353">
        <v>103.68</v>
      </c>
      <c r="M9" s="356">
        <f t="shared" ref="M9" si="2">N9*H9</f>
        <v>506.30399999999997</v>
      </c>
      <c r="N9" s="617">
        <v>1172</v>
      </c>
      <c r="O9" s="357">
        <f t="shared" ref="O9" si="3">N9*E9/1000</f>
        <v>117.2</v>
      </c>
    </row>
    <row r="10" spans="1:15" ht="15" customHeight="1" thickBot="1" x14ac:dyDescent="0.25">
      <c r="A10" s="820"/>
      <c r="B10" s="365"/>
      <c r="C10" s="366">
        <v>1200</v>
      </c>
      <c r="D10" s="367">
        <v>600</v>
      </c>
      <c r="E10" s="423">
        <v>150</v>
      </c>
      <c r="F10" s="368" t="s">
        <v>46</v>
      </c>
      <c r="G10" s="369">
        <v>4</v>
      </c>
      <c r="H10" s="370">
        <v>0.432</v>
      </c>
      <c r="I10" s="371">
        <v>24</v>
      </c>
      <c r="J10" s="372">
        <v>8.64</v>
      </c>
      <c r="K10" s="373">
        <v>95.04</v>
      </c>
      <c r="L10" s="374">
        <v>103.68</v>
      </c>
      <c r="M10" s="426">
        <f t="shared" ref="M10:M75" si="4">N10*H10</f>
        <v>628.55999999999995</v>
      </c>
      <c r="N10" s="375">
        <v>1455</v>
      </c>
      <c r="O10" s="515">
        <f t="shared" si="0"/>
        <v>218.25</v>
      </c>
    </row>
    <row r="11" spans="1:15" ht="15" customHeight="1" x14ac:dyDescent="0.2">
      <c r="A11" s="376" t="s">
        <v>284</v>
      </c>
      <c r="B11" s="338" t="s">
        <v>300</v>
      </c>
      <c r="C11" s="339">
        <v>1200</v>
      </c>
      <c r="D11" s="340">
        <v>600</v>
      </c>
      <c r="E11" s="535">
        <v>50</v>
      </c>
      <c r="F11" s="341" t="s">
        <v>297</v>
      </c>
      <c r="G11" s="342">
        <v>12</v>
      </c>
      <c r="H11" s="343">
        <v>0.432</v>
      </c>
      <c r="I11" s="342">
        <v>16</v>
      </c>
      <c r="J11" s="377">
        <v>6.9119999999999999</v>
      </c>
      <c r="K11" s="345">
        <v>76.03</v>
      </c>
      <c r="L11" s="343"/>
      <c r="M11" s="356">
        <f t="shared" si="4"/>
        <v>604.79999999999995</v>
      </c>
      <c r="N11" s="459">
        <v>1400</v>
      </c>
      <c r="O11" s="357">
        <f t="shared" si="0"/>
        <v>70</v>
      </c>
    </row>
    <row r="12" spans="1:15" ht="15" hidden="1" customHeight="1" x14ac:dyDescent="0.2">
      <c r="A12" s="347" t="s">
        <v>301</v>
      </c>
      <c r="B12" s="348">
        <v>67104</v>
      </c>
      <c r="C12" s="358">
        <v>1200</v>
      </c>
      <c r="D12" s="359">
        <v>600</v>
      </c>
      <c r="E12" s="394">
        <v>50</v>
      </c>
      <c r="F12" s="378" t="s">
        <v>297</v>
      </c>
      <c r="G12" s="379">
        <v>12</v>
      </c>
      <c r="H12" s="361">
        <v>0.432</v>
      </c>
      <c r="I12" s="379">
        <v>20</v>
      </c>
      <c r="J12" s="380">
        <v>8.64</v>
      </c>
      <c r="K12" s="381">
        <v>95.04</v>
      </c>
      <c r="L12" s="361"/>
      <c r="M12" s="356">
        <f>N12*H12</f>
        <v>720.57600000000002</v>
      </c>
      <c r="N12" s="346">
        <v>1668</v>
      </c>
      <c r="O12" s="357">
        <f>N12*E12/1000</f>
        <v>83.4</v>
      </c>
    </row>
    <row r="13" spans="1:15" ht="15" customHeight="1" x14ac:dyDescent="0.2">
      <c r="A13" s="347" t="s">
        <v>301</v>
      </c>
      <c r="B13" s="348" t="s">
        <v>302</v>
      </c>
      <c r="C13" s="358">
        <v>1200</v>
      </c>
      <c r="D13" s="359">
        <v>600</v>
      </c>
      <c r="E13" s="394">
        <v>60</v>
      </c>
      <c r="F13" s="378" t="s">
        <v>297</v>
      </c>
      <c r="G13" s="379">
        <v>9</v>
      </c>
      <c r="H13" s="361">
        <v>0.38880000000000003</v>
      </c>
      <c r="I13" s="379">
        <v>16</v>
      </c>
      <c r="J13" s="380">
        <v>6.2208000000000006</v>
      </c>
      <c r="K13" s="381">
        <v>68.42880000000001</v>
      </c>
      <c r="L13" s="361"/>
      <c r="M13" s="356">
        <f t="shared" si="4"/>
        <v>544.32000000000005</v>
      </c>
      <c r="N13" s="346">
        <f>N11</f>
        <v>1400</v>
      </c>
      <c r="O13" s="357">
        <f t="shared" si="0"/>
        <v>84</v>
      </c>
    </row>
    <row r="14" spans="1:15" ht="15" customHeight="1" x14ac:dyDescent="0.2">
      <c r="A14" s="1314" t="s">
        <v>31</v>
      </c>
      <c r="B14" s="382"/>
      <c r="C14" s="358">
        <v>1200</v>
      </c>
      <c r="D14" s="359">
        <v>600</v>
      </c>
      <c r="E14" s="394">
        <v>70</v>
      </c>
      <c r="F14" s="378" t="s">
        <v>297</v>
      </c>
      <c r="G14" s="379">
        <v>8</v>
      </c>
      <c r="H14" s="361">
        <v>0.4536</v>
      </c>
      <c r="I14" s="379">
        <v>16</v>
      </c>
      <c r="J14" s="380">
        <v>6.4512</v>
      </c>
      <c r="K14" s="381">
        <v>70.963200000000001</v>
      </c>
      <c r="L14" s="361"/>
      <c r="M14" s="356">
        <f t="shared" si="4"/>
        <v>635.04</v>
      </c>
      <c r="N14" s="346">
        <f>N13</f>
        <v>1400</v>
      </c>
      <c r="O14" s="357">
        <f t="shared" si="0"/>
        <v>98</v>
      </c>
    </row>
    <row r="15" spans="1:15" ht="15" customHeight="1" x14ac:dyDescent="0.2">
      <c r="A15" s="1314"/>
      <c r="B15" s="382"/>
      <c r="C15" s="358">
        <v>1200</v>
      </c>
      <c r="D15" s="359">
        <v>600</v>
      </c>
      <c r="E15" s="394">
        <v>80</v>
      </c>
      <c r="F15" s="378" t="s">
        <v>297</v>
      </c>
      <c r="G15" s="379">
        <v>6</v>
      </c>
      <c r="H15" s="361">
        <v>0.34560000000000002</v>
      </c>
      <c r="I15" s="379">
        <v>20</v>
      </c>
      <c r="J15" s="380">
        <v>6.9120000000000008</v>
      </c>
      <c r="K15" s="381">
        <v>76.032000000000011</v>
      </c>
      <c r="L15" s="361"/>
      <c r="M15" s="356">
        <f t="shared" si="4"/>
        <v>483.84000000000003</v>
      </c>
      <c r="N15" s="346">
        <f t="shared" ref="N15:N27" si="5">N13</f>
        <v>1400</v>
      </c>
      <c r="O15" s="357">
        <f t="shared" si="0"/>
        <v>112</v>
      </c>
    </row>
    <row r="16" spans="1:15" ht="15" customHeight="1" x14ac:dyDescent="0.2">
      <c r="A16" s="1314"/>
      <c r="B16" s="382"/>
      <c r="C16" s="358">
        <v>1200</v>
      </c>
      <c r="D16" s="359">
        <v>600</v>
      </c>
      <c r="E16" s="394">
        <v>90</v>
      </c>
      <c r="F16" s="378" t="s">
        <v>297</v>
      </c>
      <c r="G16" s="379">
        <v>6</v>
      </c>
      <c r="H16" s="361">
        <v>0.38880000000000003</v>
      </c>
      <c r="I16" s="379">
        <v>16</v>
      </c>
      <c r="J16" s="380">
        <v>6.2208000000000006</v>
      </c>
      <c r="K16" s="381">
        <v>68.42880000000001</v>
      </c>
      <c r="L16" s="361"/>
      <c r="M16" s="356">
        <f t="shared" si="4"/>
        <v>544.32000000000005</v>
      </c>
      <c r="N16" s="346">
        <f t="shared" si="5"/>
        <v>1400</v>
      </c>
      <c r="O16" s="357">
        <f t="shared" si="0"/>
        <v>126</v>
      </c>
    </row>
    <row r="17" spans="1:15" ht="15" customHeight="1" x14ac:dyDescent="0.2">
      <c r="A17" s="1314"/>
      <c r="B17" s="348" t="s">
        <v>303</v>
      </c>
      <c r="C17" s="358">
        <v>1200</v>
      </c>
      <c r="D17" s="359">
        <v>600</v>
      </c>
      <c r="E17" s="394">
        <v>100</v>
      </c>
      <c r="F17" s="378" t="s">
        <v>297</v>
      </c>
      <c r="G17" s="379">
        <v>6</v>
      </c>
      <c r="H17" s="361">
        <v>0.432</v>
      </c>
      <c r="I17" s="379">
        <v>20</v>
      </c>
      <c r="J17" s="380">
        <v>8.64</v>
      </c>
      <c r="K17" s="381">
        <v>95.04</v>
      </c>
      <c r="L17" s="361"/>
      <c r="M17" s="356">
        <f t="shared" si="4"/>
        <v>604.79999999999995</v>
      </c>
      <c r="N17" s="346">
        <f t="shared" si="5"/>
        <v>1400</v>
      </c>
      <c r="O17" s="357">
        <f t="shared" si="0"/>
        <v>140</v>
      </c>
    </row>
    <row r="18" spans="1:15" ht="15" customHeight="1" x14ac:dyDescent="0.2">
      <c r="A18" s="1314"/>
      <c r="B18" s="382"/>
      <c r="C18" s="358">
        <v>1200</v>
      </c>
      <c r="D18" s="359">
        <v>600</v>
      </c>
      <c r="E18" s="394">
        <v>110</v>
      </c>
      <c r="F18" s="378" t="s">
        <v>297</v>
      </c>
      <c r="G18" s="379">
        <v>5</v>
      </c>
      <c r="H18" s="361">
        <v>0.39600000000000002</v>
      </c>
      <c r="I18" s="379">
        <v>16</v>
      </c>
      <c r="J18" s="380">
        <v>6.3360000000000003</v>
      </c>
      <c r="K18" s="381">
        <v>69.695999999999998</v>
      </c>
      <c r="L18" s="361"/>
      <c r="M18" s="356">
        <f t="shared" si="4"/>
        <v>554.4</v>
      </c>
      <c r="N18" s="346">
        <f t="shared" si="5"/>
        <v>1400</v>
      </c>
      <c r="O18" s="357">
        <f t="shared" si="0"/>
        <v>154</v>
      </c>
    </row>
    <row r="19" spans="1:15" ht="15" customHeight="1" x14ac:dyDescent="0.2">
      <c r="A19" s="1314"/>
      <c r="B19" s="382"/>
      <c r="C19" s="358">
        <v>1200</v>
      </c>
      <c r="D19" s="359">
        <v>600</v>
      </c>
      <c r="E19" s="394">
        <v>120</v>
      </c>
      <c r="F19" s="378" t="s">
        <v>297</v>
      </c>
      <c r="G19" s="379">
        <v>5</v>
      </c>
      <c r="H19" s="361">
        <v>0.432</v>
      </c>
      <c r="I19" s="379">
        <v>16</v>
      </c>
      <c r="J19" s="380">
        <v>6.9119999999999999</v>
      </c>
      <c r="K19" s="381">
        <v>76.031999999999996</v>
      </c>
      <c r="L19" s="361"/>
      <c r="M19" s="356">
        <f t="shared" si="4"/>
        <v>604.79999999999995</v>
      </c>
      <c r="N19" s="346">
        <f t="shared" si="5"/>
        <v>1400</v>
      </c>
      <c r="O19" s="357">
        <f t="shared" si="0"/>
        <v>168</v>
      </c>
    </row>
    <row r="20" spans="1:15" ht="15" customHeight="1" x14ac:dyDescent="0.2">
      <c r="A20" s="1314"/>
      <c r="B20" s="382"/>
      <c r="C20" s="358">
        <v>1200</v>
      </c>
      <c r="D20" s="359">
        <v>600</v>
      </c>
      <c r="E20" s="394">
        <v>130</v>
      </c>
      <c r="F20" s="378" t="s">
        <v>297</v>
      </c>
      <c r="G20" s="379">
        <v>4</v>
      </c>
      <c r="H20" s="361">
        <v>0.37439999999999996</v>
      </c>
      <c r="I20" s="379">
        <v>16</v>
      </c>
      <c r="J20" s="380">
        <v>5.9904000000000002</v>
      </c>
      <c r="K20" s="381">
        <v>65.894400000000005</v>
      </c>
      <c r="L20" s="361"/>
      <c r="M20" s="356">
        <f t="shared" si="4"/>
        <v>524.16</v>
      </c>
      <c r="N20" s="346">
        <f t="shared" si="5"/>
        <v>1400</v>
      </c>
      <c r="O20" s="357">
        <f t="shared" si="0"/>
        <v>182</v>
      </c>
    </row>
    <row r="21" spans="1:15" ht="15" customHeight="1" x14ac:dyDescent="0.2">
      <c r="A21" s="1314"/>
      <c r="B21" s="382"/>
      <c r="C21" s="358">
        <v>1200</v>
      </c>
      <c r="D21" s="359">
        <v>600</v>
      </c>
      <c r="E21" s="394">
        <v>140</v>
      </c>
      <c r="F21" s="378" t="s">
        <v>297</v>
      </c>
      <c r="G21" s="379">
        <v>4</v>
      </c>
      <c r="H21" s="361">
        <v>0.4032</v>
      </c>
      <c r="I21" s="379">
        <v>16</v>
      </c>
      <c r="J21" s="380">
        <v>6.4512</v>
      </c>
      <c r="K21" s="381">
        <v>70.963200000000001</v>
      </c>
      <c r="L21" s="361"/>
      <c r="M21" s="356">
        <f t="shared" si="4"/>
        <v>564.48</v>
      </c>
      <c r="N21" s="346">
        <f t="shared" si="5"/>
        <v>1400</v>
      </c>
      <c r="O21" s="357">
        <f t="shared" si="0"/>
        <v>196</v>
      </c>
    </row>
    <row r="22" spans="1:15" ht="15" customHeight="1" x14ac:dyDescent="0.2">
      <c r="A22" s="1314"/>
      <c r="B22" s="382"/>
      <c r="C22" s="358">
        <v>1200</v>
      </c>
      <c r="D22" s="359">
        <v>600</v>
      </c>
      <c r="E22" s="394">
        <v>150</v>
      </c>
      <c r="F22" s="378" t="s">
        <v>297</v>
      </c>
      <c r="G22" s="379">
        <v>4</v>
      </c>
      <c r="H22" s="361">
        <v>0.432</v>
      </c>
      <c r="I22" s="379">
        <v>16</v>
      </c>
      <c r="J22" s="380">
        <v>6.9119999999999999</v>
      </c>
      <c r="K22" s="381">
        <v>76.031999999999996</v>
      </c>
      <c r="L22" s="361"/>
      <c r="M22" s="356">
        <f t="shared" si="4"/>
        <v>604.79999999999995</v>
      </c>
      <c r="N22" s="346">
        <f t="shared" si="5"/>
        <v>1400</v>
      </c>
      <c r="O22" s="357">
        <f t="shared" si="0"/>
        <v>210</v>
      </c>
    </row>
    <row r="23" spans="1:15" ht="15" customHeight="1" x14ac:dyDescent="0.2">
      <c r="A23" s="1314"/>
      <c r="B23" s="382"/>
      <c r="C23" s="358">
        <v>1200</v>
      </c>
      <c r="D23" s="359">
        <v>600</v>
      </c>
      <c r="E23" s="394">
        <v>160</v>
      </c>
      <c r="F23" s="378" t="s">
        <v>297</v>
      </c>
      <c r="G23" s="379">
        <v>3</v>
      </c>
      <c r="H23" s="361">
        <v>0.34560000000000002</v>
      </c>
      <c r="I23" s="379">
        <v>20</v>
      </c>
      <c r="J23" s="380">
        <v>6.9120000000000008</v>
      </c>
      <c r="K23" s="381">
        <v>76.032000000000011</v>
      </c>
      <c r="L23" s="361"/>
      <c r="M23" s="356">
        <f t="shared" si="4"/>
        <v>483.84000000000003</v>
      </c>
      <c r="N23" s="346">
        <f t="shared" si="5"/>
        <v>1400</v>
      </c>
      <c r="O23" s="357">
        <f t="shared" si="0"/>
        <v>224</v>
      </c>
    </row>
    <row r="24" spans="1:15" ht="15" customHeight="1" x14ac:dyDescent="0.2">
      <c r="A24" s="1314"/>
      <c r="B24" s="382"/>
      <c r="C24" s="358">
        <v>1200</v>
      </c>
      <c r="D24" s="359">
        <v>600</v>
      </c>
      <c r="E24" s="394">
        <v>170</v>
      </c>
      <c r="F24" s="378" t="s">
        <v>297</v>
      </c>
      <c r="G24" s="379">
        <v>3</v>
      </c>
      <c r="H24" s="361">
        <v>0.36720000000000003</v>
      </c>
      <c r="I24" s="379">
        <v>16</v>
      </c>
      <c r="J24" s="380">
        <v>5.8752000000000004</v>
      </c>
      <c r="K24" s="381">
        <v>64.627200000000002</v>
      </c>
      <c r="L24" s="361"/>
      <c r="M24" s="356">
        <f t="shared" si="4"/>
        <v>514.08000000000004</v>
      </c>
      <c r="N24" s="346">
        <f t="shared" si="5"/>
        <v>1400</v>
      </c>
      <c r="O24" s="357">
        <f t="shared" si="0"/>
        <v>238</v>
      </c>
    </row>
    <row r="25" spans="1:15" ht="15" customHeight="1" x14ac:dyDescent="0.2">
      <c r="A25" s="1314"/>
      <c r="B25" s="382"/>
      <c r="C25" s="358">
        <v>1200</v>
      </c>
      <c r="D25" s="359">
        <v>600</v>
      </c>
      <c r="E25" s="394">
        <v>180</v>
      </c>
      <c r="F25" s="378" t="s">
        <v>297</v>
      </c>
      <c r="G25" s="379">
        <v>3</v>
      </c>
      <c r="H25" s="361">
        <v>0.38880000000000003</v>
      </c>
      <c r="I25" s="379">
        <v>16</v>
      </c>
      <c r="J25" s="380">
        <v>6.2208000000000006</v>
      </c>
      <c r="K25" s="381">
        <v>68.42880000000001</v>
      </c>
      <c r="L25" s="361"/>
      <c r="M25" s="356">
        <f t="shared" si="4"/>
        <v>544.32000000000005</v>
      </c>
      <c r="N25" s="346">
        <f t="shared" si="5"/>
        <v>1400</v>
      </c>
      <c r="O25" s="357">
        <f t="shared" si="0"/>
        <v>252</v>
      </c>
    </row>
    <row r="26" spans="1:15" ht="15" customHeight="1" x14ac:dyDescent="0.2">
      <c r="A26" s="1314"/>
      <c r="B26" s="382"/>
      <c r="C26" s="358">
        <v>1200</v>
      </c>
      <c r="D26" s="359">
        <v>600</v>
      </c>
      <c r="E26" s="394">
        <v>190</v>
      </c>
      <c r="F26" s="378" t="s">
        <v>297</v>
      </c>
      <c r="G26" s="379">
        <v>3</v>
      </c>
      <c r="H26" s="361">
        <v>0.41040000000000004</v>
      </c>
      <c r="I26" s="379">
        <v>16</v>
      </c>
      <c r="J26" s="380">
        <v>6.5664000000000007</v>
      </c>
      <c r="K26" s="381">
        <v>72.230400000000003</v>
      </c>
      <c r="L26" s="361"/>
      <c r="M26" s="356">
        <f t="shared" si="4"/>
        <v>574.56000000000006</v>
      </c>
      <c r="N26" s="346">
        <f t="shared" si="5"/>
        <v>1400</v>
      </c>
      <c r="O26" s="357">
        <f t="shared" si="0"/>
        <v>266</v>
      </c>
    </row>
    <row r="27" spans="1:15" ht="15" customHeight="1" thickBot="1" x14ac:dyDescent="0.25">
      <c r="A27" s="1314"/>
      <c r="B27" s="383"/>
      <c r="C27" s="384">
        <v>1200</v>
      </c>
      <c r="D27" s="385">
        <v>600</v>
      </c>
      <c r="E27" s="394">
        <v>200</v>
      </c>
      <c r="F27" s="386" t="s">
        <v>297</v>
      </c>
      <c r="G27" s="387">
        <v>3</v>
      </c>
      <c r="H27" s="388">
        <v>0.432</v>
      </c>
      <c r="I27" s="387">
        <v>16</v>
      </c>
      <c r="J27" s="389">
        <v>6.9119999999999999</v>
      </c>
      <c r="K27" s="373">
        <v>76.031999999999996</v>
      </c>
      <c r="L27" s="388"/>
      <c r="M27" s="426">
        <f t="shared" si="4"/>
        <v>604.79999999999995</v>
      </c>
      <c r="N27" s="346">
        <f t="shared" si="5"/>
        <v>1400</v>
      </c>
      <c r="O27" s="515">
        <f t="shared" si="0"/>
        <v>280</v>
      </c>
    </row>
    <row r="28" spans="1:15" ht="15" customHeight="1" x14ac:dyDescent="0.2">
      <c r="A28" s="390" t="s">
        <v>283</v>
      </c>
      <c r="B28" s="391" t="s">
        <v>304</v>
      </c>
      <c r="C28" s="339">
        <v>1200</v>
      </c>
      <c r="D28" s="340">
        <v>600</v>
      </c>
      <c r="E28" s="392">
        <v>50</v>
      </c>
      <c r="F28" s="341" t="s">
        <v>297</v>
      </c>
      <c r="G28" s="342">
        <v>12</v>
      </c>
      <c r="H28" s="344">
        <v>0.432</v>
      </c>
      <c r="I28" s="342">
        <v>20</v>
      </c>
      <c r="J28" s="344">
        <v>6.9119999999999999</v>
      </c>
      <c r="K28" s="381">
        <v>76.031999999999996</v>
      </c>
      <c r="L28" s="343"/>
      <c r="M28" s="356">
        <f t="shared" si="4"/>
        <v>748.22400000000005</v>
      </c>
      <c r="N28" s="459">
        <v>1732</v>
      </c>
      <c r="O28" s="357">
        <f t="shared" si="0"/>
        <v>86.6</v>
      </c>
    </row>
    <row r="29" spans="1:15" ht="15" hidden="1" customHeight="1" x14ac:dyDescent="0.2">
      <c r="A29" s="393" t="s">
        <v>305</v>
      </c>
      <c r="B29" s="382">
        <v>368132</v>
      </c>
      <c r="C29" s="358">
        <v>1200</v>
      </c>
      <c r="D29" s="359">
        <v>600</v>
      </c>
      <c r="E29" s="394">
        <v>50</v>
      </c>
      <c r="F29" s="395" t="s">
        <v>46</v>
      </c>
      <c r="G29" s="379">
        <v>8</v>
      </c>
      <c r="H29" s="396">
        <v>0.28799999999999998</v>
      </c>
      <c r="I29" s="379">
        <v>28</v>
      </c>
      <c r="J29" s="396">
        <v>8.0640000000000001</v>
      </c>
      <c r="K29" s="381">
        <v>80.64</v>
      </c>
      <c r="L29" s="361"/>
      <c r="M29" s="356">
        <f t="shared" ref="M29" si="6">N29*H29</f>
        <v>498.81599999999997</v>
      </c>
      <c r="N29" s="346">
        <v>1732</v>
      </c>
      <c r="O29" s="357">
        <f t="shared" ref="O29" si="7">N29*E29/1000</f>
        <v>86.6</v>
      </c>
    </row>
    <row r="30" spans="1:15" ht="15" customHeight="1" x14ac:dyDescent="0.2">
      <c r="A30" s="393" t="s">
        <v>305</v>
      </c>
      <c r="B30" s="382"/>
      <c r="C30" s="358">
        <v>1200</v>
      </c>
      <c r="D30" s="359">
        <v>600</v>
      </c>
      <c r="E30" s="394">
        <v>60</v>
      </c>
      <c r="F30" s="395" t="s">
        <v>46</v>
      </c>
      <c r="G30" s="379">
        <v>10</v>
      </c>
      <c r="H30" s="396">
        <v>0.38879999999999998</v>
      </c>
      <c r="I30" s="379">
        <v>16</v>
      </c>
      <c r="J30" s="396">
        <v>6.9119999999999999</v>
      </c>
      <c r="K30" s="381">
        <v>76.031999999999996</v>
      </c>
      <c r="L30" s="361"/>
      <c r="M30" s="356">
        <f t="shared" si="4"/>
        <v>673.40159999999992</v>
      </c>
      <c r="N30" s="346">
        <v>1732</v>
      </c>
      <c r="O30" s="357">
        <f t="shared" si="0"/>
        <v>103.92</v>
      </c>
    </row>
    <row r="31" spans="1:15" ht="15" customHeight="1" x14ac:dyDescent="0.2">
      <c r="A31" s="1315" t="s">
        <v>26</v>
      </c>
      <c r="B31" s="382"/>
      <c r="C31" s="358">
        <v>1200</v>
      </c>
      <c r="D31" s="359">
        <v>600</v>
      </c>
      <c r="E31" s="394">
        <v>70</v>
      </c>
      <c r="F31" s="395" t="s">
        <v>46</v>
      </c>
      <c r="G31" s="379">
        <v>8</v>
      </c>
      <c r="H31" s="396">
        <v>0.3024</v>
      </c>
      <c r="I31" s="379">
        <v>16</v>
      </c>
      <c r="J31" s="396">
        <v>6.4512</v>
      </c>
      <c r="K31" s="381">
        <v>70.963200000000001</v>
      </c>
      <c r="L31" s="361"/>
      <c r="M31" s="356">
        <f t="shared" si="4"/>
        <v>523.7568</v>
      </c>
      <c r="N31" s="346">
        <v>1732</v>
      </c>
      <c r="O31" s="357">
        <f t="shared" si="0"/>
        <v>121.24</v>
      </c>
    </row>
    <row r="32" spans="1:15" ht="15" customHeight="1" x14ac:dyDescent="0.2">
      <c r="A32" s="1315"/>
      <c r="B32" s="382"/>
      <c r="C32" s="358">
        <v>1200</v>
      </c>
      <c r="D32" s="359">
        <v>600</v>
      </c>
      <c r="E32" s="394">
        <v>80</v>
      </c>
      <c r="F32" s="395" t="s">
        <v>46</v>
      </c>
      <c r="G32" s="379">
        <v>6</v>
      </c>
      <c r="H32" s="396">
        <v>0.34560000000000002</v>
      </c>
      <c r="I32" s="379">
        <v>20</v>
      </c>
      <c r="J32" s="396">
        <v>6.9120000000000008</v>
      </c>
      <c r="K32" s="381">
        <v>76.032000000000011</v>
      </c>
      <c r="L32" s="361"/>
      <c r="M32" s="356">
        <f t="shared" si="4"/>
        <v>598.57920000000001</v>
      </c>
      <c r="N32" s="346">
        <v>1732</v>
      </c>
      <c r="O32" s="357">
        <f t="shared" si="0"/>
        <v>138.56</v>
      </c>
    </row>
    <row r="33" spans="1:15" ht="15" customHeight="1" x14ac:dyDescent="0.2">
      <c r="A33" s="1315"/>
      <c r="B33" s="382"/>
      <c r="C33" s="358">
        <v>1200</v>
      </c>
      <c r="D33" s="359">
        <v>600</v>
      </c>
      <c r="E33" s="394">
        <v>90</v>
      </c>
      <c r="F33" s="397" t="s">
        <v>46</v>
      </c>
      <c r="G33" s="379">
        <v>6</v>
      </c>
      <c r="H33" s="396">
        <v>0.38879999999999998</v>
      </c>
      <c r="I33" s="379">
        <v>16</v>
      </c>
      <c r="J33" s="396">
        <v>6.2207999999999997</v>
      </c>
      <c r="K33" s="381">
        <v>68.428799999999995</v>
      </c>
      <c r="L33" s="361"/>
      <c r="M33" s="356">
        <f t="shared" si="4"/>
        <v>673.40159999999992</v>
      </c>
      <c r="N33" s="346">
        <v>1732</v>
      </c>
      <c r="O33" s="357">
        <f t="shared" si="0"/>
        <v>155.88</v>
      </c>
    </row>
    <row r="34" spans="1:15" ht="15" customHeight="1" x14ac:dyDescent="0.2">
      <c r="A34" s="1315"/>
      <c r="B34" s="398" t="s">
        <v>306</v>
      </c>
      <c r="C34" s="358">
        <v>1200</v>
      </c>
      <c r="D34" s="359">
        <v>600</v>
      </c>
      <c r="E34" s="394">
        <v>100</v>
      </c>
      <c r="F34" s="397" t="s">
        <v>46</v>
      </c>
      <c r="G34" s="379">
        <v>6</v>
      </c>
      <c r="H34" s="396">
        <v>0.432</v>
      </c>
      <c r="I34" s="379">
        <v>24</v>
      </c>
      <c r="J34" s="396">
        <v>6.911999999999999</v>
      </c>
      <c r="K34" s="381">
        <v>76.031999999999982</v>
      </c>
      <c r="L34" s="361"/>
      <c r="M34" s="356">
        <f t="shared" si="4"/>
        <v>748.22400000000005</v>
      </c>
      <c r="N34" s="346">
        <v>1732</v>
      </c>
      <c r="O34" s="357">
        <f t="shared" si="0"/>
        <v>173.2</v>
      </c>
    </row>
    <row r="35" spans="1:15" ht="15" hidden="1" customHeight="1" x14ac:dyDescent="0.2">
      <c r="A35" s="1315"/>
      <c r="B35" s="398">
        <v>368133</v>
      </c>
      <c r="C35" s="358">
        <v>1200</v>
      </c>
      <c r="D35" s="359">
        <v>600</v>
      </c>
      <c r="E35" s="394">
        <v>100</v>
      </c>
      <c r="F35" s="397" t="s">
        <v>238</v>
      </c>
      <c r="G35" s="379">
        <v>4</v>
      </c>
      <c r="H35" s="396">
        <v>0.28799999999999998</v>
      </c>
      <c r="I35" s="379">
        <v>28</v>
      </c>
      <c r="J35" s="396">
        <v>8.0640000000000001</v>
      </c>
      <c r="K35" s="381">
        <v>80.64</v>
      </c>
      <c r="L35" s="361"/>
      <c r="M35" s="356">
        <f t="shared" ref="M35" si="8">N35*H35</f>
        <v>498.81599999999997</v>
      </c>
      <c r="N35" s="346">
        <v>1732</v>
      </c>
      <c r="O35" s="357">
        <f t="shared" ref="O35" si="9">N35*E35/1000</f>
        <v>173.2</v>
      </c>
    </row>
    <row r="36" spans="1:15" ht="15" customHeight="1" x14ac:dyDescent="0.2">
      <c r="A36" s="1315"/>
      <c r="B36" s="399"/>
      <c r="C36" s="358">
        <v>1200</v>
      </c>
      <c r="D36" s="359">
        <v>600</v>
      </c>
      <c r="E36" s="394">
        <v>110</v>
      </c>
      <c r="F36" s="395" t="s">
        <v>46</v>
      </c>
      <c r="G36" s="379">
        <v>4</v>
      </c>
      <c r="H36" s="396">
        <v>0.31680000000000003</v>
      </c>
      <c r="I36" s="379">
        <v>16</v>
      </c>
      <c r="J36" s="396">
        <v>6.3360000000000003</v>
      </c>
      <c r="K36" s="381">
        <v>69.695999999999998</v>
      </c>
      <c r="L36" s="361"/>
      <c r="M36" s="356">
        <f t="shared" si="4"/>
        <v>548.69760000000008</v>
      </c>
      <c r="N36" s="346">
        <v>1732</v>
      </c>
      <c r="O36" s="357">
        <f t="shared" si="0"/>
        <v>190.52</v>
      </c>
    </row>
    <row r="37" spans="1:15" ht="15" customHeight="1" x14ac:dyDescent="0.2">
      <c r="A37" s="1315"/>
      <c r="B37" s="399"/>
      <c r="C37" s="358">
        <v>1200</v>
      </c>
      <c r="D37" s="359">
        <v>600</v>
      </c>
      <c r="E37" s="394">
        <v>120</v>
      </c>
      <c r="F37" s="395" t="s">
        <v>46</v>
      </c>
      <c r="G37" s="379">
        <v>4</v>
      </c>
      <c r="H37" s="396">
        <v>0.34560000000000002</v>
      </c>
      <c r="I37" s="379">
        <v>20</v>
      </c>
      <c r="J37" s="396">
        <v>6.9120000000000008</v>
      </c>
      <c r="K37" s="381">
        <v>76.032000000000011</v>
      </c>
      <c r="L37" s="361"/>
      <c r="M37" s="356">
        <f t="shared" si="4"/>
        <v>598.57920000000001</v>
      </c>
      <c r="N37" s="346">
        <v>1732</v>
      </c>
      <c r="O37" s="357">
        <f t="shared" si="0"/>
        <v>207.84</v>
      </c>
    </row>
    <row r="38" spans="1:15" ht="15" customHeight="1" x14ac:dyDescent="0.2">
      <c r="A38" s="1315"/>
      <c r="B38" s="399"/>
      <c r="C38" s="358">
        <v>1200</v>
      </c>
      <c r="D38" s="359">
        <v>600</v>
      </c>
      <c r="E38" s="394">
        <v>130</v>
      </c>
      <c r="F38" s="395" t="s">
        <v>46</v>
      </c>
      <c r="G38" s="379">
        <v>4</v>
      </c>
      <c r="H38" s="396">
        <v>0.37440000000000001</v>
      </c>
      <c r="I38" s="379">
        <v>16</v>
      </c>
      <c r="J38" s="396">
        <v>5.9904000000000002</v>
      </c>
      <c r="K38" s="381">
        <v>65.894400000000005</v>
      </c>
      <c r="L38" s="361"/>
      <c r="M38" s="356">
        <f t="shared" si="4"/>
        <v>648.46080000000006</v>
      </c>
      <c r="N38" s="346">
        <v>1732</v>
      </c>
      <c r="O38" s="357">
        <f t="shared" si="0"/>
        <v>225.16</v>
      </c>
    </row>
    <row r="39" spans="1:15" ht="15" customHeight="1" x14ac:dyDescent="0.2">
      <c r="A39" s="1315"/>
      <c r="B39" s="399"/>
      <c r="C39" s="358">
        <v>1200</v>
      </c>
      <c r="D39" s="359">
        <v>600</v>
      </c>
      <c r="E39" s="394">
        <v>140</v>
      </c>
      <c r="F39" s="395" t="s">
        <v>46</v>
      </c>
      <c r="G39" s="379">
        <v>3</v>
      </c>
      <c r="H39" s="396">
        <v>0.3024</v>
      </c>
      <c r="I39" s="379">
        <v>20</v>
      </c>
      <c r="J39" s="396">
        <v>6.048</v>
      </c>
      <c r="K39" s="381">
        <v>66.528000000000006</v>
      </c>
      <c r="L39" s="361"/>
      <c r="M39" s="356">
        <f t="shared" si="4"/>
        <v>523.7568</v>
      </c>
      <c r="N39" s="346">
        <v>1732</v>
      </c>
      <c r="O39" s="357">
        <f t="shared" si="0"/>
        <v>242.48</v>
      </c>
    </row>
    <row r="40" spans="1:15" ht="15" customHeight="1" x14ac:dyDescent="0.2">
      <c r="A40" s="1315"/>
      <c r="B40" s="399"/>
      <c r="C40" s="358">
        <v>1200</v>
      </c>
      <c r="D40" s="359">
        <v>600</v>
      </c>
      <c r="E40" s="394">
        <v>150</v>
      </c>
      <c r="F40" s="395" t="s">
        <v>46</v>
      </c>
      <c r="G40" s="379">
        <v>3</v>
      </c>
      <c r="H40" s="396">
        <v>0.32400000000000001</v>
      </c>
      <c r="I40" s="379">
        <v>20</v>
      </c>
      <c r="J40" s="396">
        <v>6.48</v>
      </c>
      <c r="K40" s="381">
        <v>71.28</v>
      </c>
      <c r="L40" s="361"/>
      <c r="M40" s="356">
        <f t="shared" si="4"/>
        <v>561.16800000000001</v>
      </c>
      <c r="N40" s="346">
        <v>1732</v>
      </c>
      <c r="O40" s="357">
        <f t="shared" si="0"/>
        <v>259.8</v>
      </c>
    </row>
    <row r="41" spans="1:15" ht="15" customHeight="1" x14ac:dyDescent="0.2">
      <c r="A41" s="1315"/>
      <c r="B41" s="399"/>
      <c r="C41" s="358">
        <v>1200</v>
      </c>
      <c r="D41" s="359">
        <v>600</v>
      </c>
      <c r="E41" s="394">
        <v>160</v>
      </c>
      <c r="F41" s="395" t="s">
        <v>46</v>
      </c>
      <c r="G41" s="379">
        <v>3</v>
      </c>
      <c r="H41" s="396">
        <v>0.34560000000000002</v>
      </c>
      <c r="I41" s="379">
        <v>20</v>
      </c>
      <c r="J41" s="396">
        <v>6.9120000000000008</v>
      </c>
      <c r="K41" s="381">
        <v>76.032000000000011</v>
      </c>
      <c r="L41" s="361"/>
      <c r="M41" s="356">
        <f t="shared" si="4"/>
        <v>598.57920000000001</v>
      </c>
      <c r="N41" s="346">
        <v>1732</v>
      </c>
      <c r="O41" s="357">
        <f t="shared" si="0"/>
        <v>277.12</v>
      </c>
    </row>
    <row r="42" spans="1:15" ht="15" customHeight="1" x14ac:dyDescent="0.2">
      <c r="A42" s="1315"/>
      <c r="B42" s="399"/>
      <c r="C42" s="358">
        <v>1200</v>
      </c>
      <c r="D42" s="359">
        <v>600</v>
      </c>
      <c r="E42" s="394">
        <v>170</v>
      </c>
      <c r="F42" s="395" t="s">
        <v>46</v>
      </c>
      <c r="G42" s="379">
        <v>3</v>
      </c>
      <c r="H42" s="396">
        <v>0.36720000000000003</v>
      </c>
      <c r="I42" s="379">
        <v>16</v>
      </c>
      <c r="J42" s="396">
        <v>5.8752000000000004</v>
      </c>
      <c r="K42" s="381">
        <v>64.627200000000002</v>
      </c>
      <c r="L42" s="361"/>
      <c r="M42" s="356">
        <f t="shared" si="4"/>
        <v>635.99040000000002</v>
      </c>
      <c r="N42" s="346">
        <v>1732</v>
      </c>
      <c r="O42" s="357">
        <f t="shared" si="0"/>
        <v>294.44</v>
      </c>
    </row>
    <row r="43" spans="1:15" ht="15" customHeight="1" x14ac:dyDescent="0.2">
      <c r="A43" s="1315"/>
      <c r="B43" s="399"/>
      <c r="C43" s="358">
        <v>1200</v>
      </c>
      <c r="D43" s="359">
        <v>600</v>
      </c>
      <c r="E43" s="394">
        <v>180</v>
      </c>
      <c r="F43" s="395" t="s">
        <v>46</v>
      </c>
      <c r="G43" s="379">
        <v>3</v>
      </c>
      <c r="H43" s="396">
        <v>0.38879999999999998</v>
      </c>
      <c r="I43" s="379">
        <v>16</v>
      </c>
      <c r="J43" s="396">
        <v>6.2207999999999997</v>
      </c>
      <c r="K43" s="381">
        <v>68.428799999999995</v>
      </c>
      <c r="L43" s="361"/>
      <c r="M43" s="356">
        <f t="shared" si="4"/>
        <v>673.40159999999992</v>
      </c>
      <c r="N43" s="346">
        <v>1732</v>
      </c>
      <c r="O43" s="357">
        <f t="shared" si="0"/>
        <v>311.76</v>
      </c>
    </row>
    <row r="44" spans="1:15" ht="15" customHeight="1" x14ac:dyDescent="0.2">
      <c r="A44" s="1315"/>
      <c r="B44" s="399"/>
      <c r="C44" s="400">
        <v>1200</v>
      </c>
      <c r="D44" s="401">
        <v>600</v>
      </c>
      <c r="E44" s="402">
        <v>190</v>
      </c>
      <c r="F44" s="403" t="s">
        <v>46</v>
      </c>
      <c r="G44" s="362">
        <v>3</v>
      </c>
      <c r="H44" s="363">
        <v>0.41039999999999993</v>
      </c>
      <c r="I44" s="362">
        <v>16</v>
      </c>
      <c r="J44" s="363">
        <v>6.5663999999999998</v>
      </c>
      <c r="K44" s="381">
        <v>72.230400000000003</v>
      </c>
      <c r="L44" s="404"/>
      <c r="M44" s="356">
        <f t="shared" si="4"/>
        <v>710.81279999999992</v>
      </c>
      <c r="N44" s="346">
        <v>1732</v>
      </c>
      <c r="O44" s="357">
        <f t="shared" si="0"/>
        <v>329.08</v>
      </c>
    </row>
    <row r="45" spans="1:15" ht="15" customHeight="1" thickBot="1" x14ac:dyDescent="0.25">
      <c r="A45" s="1316"/>
      <c r="B45" s="405"/>
      <c r="C45" s="406">
        <v>1200</v>
      </c>
      <c r="D45" s="407">
        <v>600</v>
      </c>
      <c r="E45" s="408">
        <v>200</v>
      </c>
      <c r="F45" s="409" t="s">
        <v>46</v>
      </c>
      <c r="G45" s="371">
        <v>3</v>
      </c>
      <c r="H45" s="372">
        <v>0.43199999999999994</v>
      </c>
      <c r="I45" s="371">
        <v>16</v>
      </c>
      <c r="J45" s="372">
        <v>6.911999999999999</v>
      </c>
      <c r="K45" s="373">
        <v>76.031999999999982</v>
      </c>
      <c r="L45" s="410"/>
      <c r="M45" s="426">
        <f t="shared" si="4"/>
        <v>748.22399999999993</v>
      </c>
      <c r="N45" s="346">
        <v>1732</v>
      </c>
      <c r="O45" s="515">
        <f t="shared" si="0"/>
        <v>346.4</v>
      </c>
    </row>
    <row r="46" spans="1:15" ht="15" customHeight="1" x14ac:dyDescent="0.2">
      <c r="A46" s="411" t="s">
        <v>282</v>
      </c>
      <c r="B46" s="412" t="s">
        <v>307</v>
      </c>
      <c r="C46" s="413">
        <v>1200</v>
      </c>
      <c r="D46" s="414">
        <v>600</v>
      </c>
      <c r="E46" s="415">
        <v>50</v>
      </c>
      <c r="F46" s="416" t="s">
        <v>297</v>
      </c>
      <c r="G46" s="417">
        <v>6</v>
      </c>
      <c r="H46" s="418">
        <v>0.216</v>
      </c>
      <c r="I46" s="417">
        <v>32</v>
      </c>
      <c r="J46" s="419">
        <v>6.9119999999999999</v>
      </c>
      <c r="K46" s="381">
        <v>76.031999999999996</v>
      </c>
      <c r="L46" s="418"/>
      <c r="M46" s="356">
        <f t="shared" si="4"/>
        <v>783.64800000000002</v>
      </c>
      <c r="N46" s="516">
        <v>3628</v>
      </c>
      <c r="O46" s="357">
        <f t="shared" si="0"/>
        <v>181.4</v>
      </c>
    </row>
    <row r="47" spans="1:15" ht="15" customHeight="1" x14ac:dyDescent="0.2">
      <c r="A47" s="393" t="s">
        <v>308</v>
      </c>
      <c r="B47" s="348" t="s">
        <v>309</v>
      </c>
      <c r="C47" s="395">
        <v>1200</v>
      </c>
      <c r="D47" s="359">
        <v>600</v>
      </c>
      <c r="E47" s="394">
        <v>60</v>
      </c>
      <c r="F47" s="395" t="s">
        <v>46</v>
      </c>
      <c r="G47" s="379">
        <v>4</v>
      </c>
      <c r="H47" s="361">
        <v>0.17279999999999998</v>
      </c>
      <c r="I47" s="379">
        <v>40</v>
      </c>
      <c r="J47" s="396">
        <v>6.911999999999999</v>
      </c>
      <c r="K47" s="381">
        <v>76.031999999999982</v>
      </c>
      <c r="L47" s="361"/>
      <c r="M47" s="356">
        <f t="shared" si="4"/>
        <v>626.91839999999991</v>
      </c>
      <c r="N47" s="346">
        <f>N46</f>
        <v>3628</v>
      </c>
      <c r="O47" s="357">
        <f t="shared" si="0"/>
        <v>217.68</v>
      </c>
    </row>
    <row r="48" spans="1:15" ht="15" customHeight="1" x14ac:dyDescent="0.2">
      <c r="A48" s="1315" t="s">
        <v>27</v>
      </c>
      <c r="B48" s="420"/>
      <c r="C48" s="395">
        <v>1200</v>
      </c>
      <c r="D48" s="359">
        <v>600</v>
      </c>
      <c r="E48" s="394">
        <v>70</v>
      </c>
      <c r="F48" s="395" t="s">
        <v>46</v>
      </c>
      <c r="G48" s="379">
        <v>4</v>
      </c>
      <c r="H48" s="361">
        <v>0.2016</v>
      </c>
      <c r="I48" s="379">
        <v>32</v>
      </c>
      <c r="J48" s="396">
        <v>6.4512</v>
      </c>
      <c r="K48" s="381">
        <v>70.963200000000001</v>
      </c>
      <c r="L48" s="361"/>
      <c r="M48" s="356">
        <f t="shared" si="4"/>
        <v>731.40480000000002</v>
      </c>
      <c r="N48" s="346">
        <f t="shared" ref="N48:N61" si="10">N47</f>
        <v>3628</v>
      </c>
      <c r="O48" s="357">
        <f t="shared" si="0"/>
        <v>253.96</v>
      </c>
    </row>
    <row r="49" spans="1:15" ht="15" customHeight="1" x14ac:dyDescent="0.2">
      <c r="A49" s="1315"/>
      <c r="B49" s="382"/>
      <c r="C49" s="395">
        <v>1200</v>
      </c>
      <c r="D49" s="359">
        <v>600</v>
      </c>
      <c r="E49" s="394">
        <v>80</v>
      </c>
      <c r="F49" s="395" t="s">
        <v>46</v>
      </c>
      <c r="G49" s="379">
        <v>5</v>
      </c>
      <c r="H49" s="361">
        <v>0.28799999999999998</v>
      </c>
      <c r="I49" s="379">
        <v>24</v>
      </c>
      <c r="J49" s="396">
        <v>6.911999999999999</v>
      </c>
      <c r="K49" s="381">
        <v>76.031999999999982</v>
      </c>
      <c r="L49" s="361"/>
      <c r="M49" s="356">
        <f t="shared" si="4"/>
        <v>1044.864</v>
      </c>
      <c r="N49" s="346">
        <f t="shared" si="10"/>
        <v>3628</v>
      </c>
      <c r="O49" s="357">
        <f t="shared" si="0"/>
        <v>290.24</v>
      </c>
    </row>
    <row r="50" spans="1:15" ht="15" customHeight="1" x14ac:dyDescent="0.2">
      <c r="A50" s="1315"/>
      <c r="B50" s="348" t="s">
        <v>310</v>
      </c>
      <c r="C50" s="395">
        <v>1200</v>
      </c>
      <c r="D50" s="359">
        <v>600</v>
      </c>
      <c r="E50" s="394">
        <v>90</v>
      </c>
      <c r="F50" s="397" t="s">
        <v>46</v>
      </c>
      <c r="G50" s="379">
        <v>4</v>
      </c>
      <c r="H50" s="361">
        <v>0.25919999999999999</v>
      </c>
      <c r="I50" s="379">
        <v>24</v>
      </c>
      <c r="J50" s="396">
        <v>6.2207999999999997</v>
      </c>
      <c r="K50" s="381">
        <v>68.428799999999995</v>
      </c>
      <c r="L50" s="361"/>
      <c r="M50" s="356">
        <f t="shared" si="4"/>
        <v>940.37759999999992</v>
      </c>
      <c r="N50" s="346">
        <f t="shared" si="10"/>
        <v>3628</v>
      </c>
      <c r="O50" s="357">
        <f t="shared" si="0"/>
        <v>326.52</v>
      </c>
    </row>
    <row r="51" spans="1:15" ht="15" customHeight="1" x14ac:dyDescent="0.2">
      <c r="A51" s="1315"/>
      <c r="B51" s="348" t="s">
        <v>311</v>
      </c>
      <c r="C51" s="395">
        <v>1200</v>
      </c>
      <c r="D51" s="359">
        <v>600</v>
      </c>
      <c r="E51" s="394">
        <v>100</v>
      </c>
      <c r="F51" s="416" t="s">
        <v>297</v>
      </c>
      <c r="G51" s="379">
        <v>3</v>
      </c>
      <c r="H51" s="361">
        <v>0.216</v>
      </c>
      <c r="I51" s="379">
        <v>32</v>
      </c>
      <c r="J51" s="396">
        <v>6.9119999999999999</v>
      </c>
      <c r="K51" s="381">
        <v>76.031999999999996</v>
      </c>
      <c r="L51" s="361"/>
      <c r="M51" s="356">
        <f t="shared" si="4"/>
        <v>783.64800000000002</v>
      </c>
      <c r="N51" s="346">
        <f t="shared" si="10"/>
        <v>3628</v>
      </c>
      <c r="O51" s="357">
        <f t="shared" si="0"/>
        <v>362.8</v>
      </c>
    </row>
    <row r="52" spans="1:15" ht="15" customHeight="1" x14ac:dyDescent="0.2">
      <c r="A52" s="1315"/>
      <c r="B52" s="382"/>
      <c r="C52" s="395">
        <v>1200</v>
      </c>
      <c r="D52" s="359">
        <v>600</v>
      </c>
      <c r="E52" s="394">
        <v>110</v>
      </c>
      <c r="F52" s="395" t="s">
        <v>46</v>
      </c>
      <c r="G52" s="379">
        <v>3</v>
      </c>
      <c r="H52" s="361">
        <v>0.23760000000000003</v>
      </c>
      <c r="I52" s="379">
        <v>28</v>
      </c>
      <c r="J52" s="396">
        <v>6.6528000000000009</v>
      </c>
      <c r="K52" s="381">
        <v>73.180800000000005</v>
      </c>
      <c r="L52" s="361"/>
      <c r="M52" s="356">
        <f t="shared" si="4"/>
        <v>862.01280000000008</v>
      </c>
      <c r="N52" s="346">
        <f t="shared" si="10"/>
        <v>3628</v>
      </c>
      <c r="O52" s="357">
        <f t="shared" si="0"/>
        <v>399.08</v>
      </c>
    </row>
    <row r="53" spans="1:15" ht="15" customHeight="1" x14ac:dyDescent="0.2">
      <c r="A53" s="1315"/>
      <c r="B53" s="348" t="s">
        <v>312</v>
      </c>
      <c r="C53" s="395">
        <v>1200</v>
      </c>
      <c r="D53" s="359">
        <v>600</v>
      </c>
      <c r="E53" s="394">
        <v>120</v>
      </c>
      <c r="F53" s="395" t="s">
        <v>46</v>
      </c>
      <c r="G53" s="379">
        <v>3</v>
      </c>
      <c r="H53" s="361">
        <v>0.25920000000000004</v>
      </c>
      <c r="I53" s="379">
        <v>24</v>
      </c>
      <c r="J53" s="396">
        <v>6.2208000000000006</v>
      </c>
      <c r="K53" s="381">
        <v>68.42880000000001</v>
      </c>
      <c r="L53" s="361"/>
      <c r="M53" s="356">
        <f t="shared" si="4"/>
        <v>940.37760000000014</v>
      </c>
      <c r="N53" s="346">
        <f t="shared" si="10"/>
        <v>3628</v>
      </c>
      <c r="O53" s="357">
        <f t="shared" si="0"/>
        <v>435.36</v>
      </c>
    </row>
    <row r="54" spans="1:15" ht="15" customHeight="1" x14ac:dyDescent="0.2">
      <c r="A54" s="1315"/>
      <c r="B54" s="348" t="s">
        <v>313</v>
      </c>
      <c r="C54" s="395">
        <v>1200</v>
      </c>
      <c r="D54" s="359">
        <v>600</v>
      </c>
      <c r="E54" s="394">
        <v>130</v>
      </c>
      <c r="F54" s="395" t="s">
        <v>46</v>
      </c>
      <c r="G54" s="379">
        <v>2</v>
      </c>
      <c r="H54" s="361">
        <v>0.18719999999999998</v>
      </c>
      <c r="I54" s="379">
        <v>36</v>
      </c>
      <c r="J54" s="396">
        <v>6.7391999999999994</v>
      </c>
      <c r="K54" s="381">
        <v>74.131199999999993</v>
      </c>
      <c r="L54" s="361"/>
      <c r="M54" s="356">
        <f t="shared" si="4"/>
        <v>679.16159999999991</v>
      </c>
      <c r="N54" s="346">
        <f t="shared" si="10"/>
        <v>3628</v>
      </c>
      <c r="O54" s="357">
        <f t="shared" si="0"/>
        <v>471.64</v>
      </c>
    </row>
    <row r="55" spans="1:15" ht="15" customHeight="1" x14ac:dyDescent="0.2">
      <c r="A55" s="1315"/>
      <c r="B55" s="382"/>
      <c r="C55" s="395">
        <v>1200</v>
      </c>
      <c r="D55" s="359">
        <v>600</v>
      </c>
      <c r="E55" s="394">
        <v>140</v>
      </c>
      <c r="F55" s="395" t="s">
        <v>46</v>
      </c>
      <c r="G55" s="379">
        <v>2</v>
      </c>
      <c r="H55" s="361">
        <v>0.2016</v>
      </c>
      <c r="I55" s="379">
        <v>32</v>
      </c>
      <c r="J55" s="396">
        <v>6.4512</v>
      </c>
      <c r="K55" s="381">
        <v>70.963200000000001</v>
      </c>
      <c r="L55" s="361"/>
      <c r="M55" s="356">
        <f t="shared" si="4"/>
        <v>731.40480000000002</v>
      </c>
      <c r="N55" s="346">
        <f t="shared" si="10"/>
        <v>3628</v>
      </c>
      <c r="O55" s="357">
        <f t="shared" si="0"/>
        <v>507.92</v>
      </c>
    </row>
    <row r="56" spans="1:15" ht="15" customHeight="1" x14ac:dyDescent="0.2">
      <c r="A56" s="1315"/>
      <c r="B56" s="348" t="s">
        <v>314</v>
      </c>
      <c r="C56" s="395">
        <v>1200</v>
      </c>
      <c r="D56" s="359">
        <v>600</v>
      </c>
      <c r="E56" s="394">
        <v>150</v>
      </c>
      <c r="F56" s="395" t="s">
        <v>46</v>
      </c>
      <c r="G56" s="379">
        <v>2</v>
      </c>
      <c r="H56" s="361">
        <v>0.216</v>
      </c>
      <c r="I56" s="379">
        <v>32</v>
      </c>
      <c r="J56" s="396">
        <v>6.9119999999999999</v>
      </c>
      <c r="K56" s="381">
        <v>76.031999999999996</v>
      </c>
      <c r="L56" s="361"/>
      <c r="M56" s="356">
        <f t="shared" si="4"/>
        <v>783.64800000000002</v>
      </c>
      <c r="N56" s="346">
        <f t="shared" si="10"/>
        <v>3628</v>
      </c>
      <c r="O56" s="357">
        <f t="shared" si="0"/>
        <v>544.20000000000005</v>
      </c>
    </row>
    <row r="57" spans="1:15" ht="15" customHeight="1" x14ac:dyDescent="0.2">
      <c r="A57" s="1315"/>
      <c r="B57" s="382"/>
      <c r="C57" s="395">
        <v>1200</v>
      </c>
      <c r="D57" s="359">
        <v>600</v>
      </c>
      <c r="E57" s="394">
        <v>160</v>
      </c>
      <c r="F57" s="395" t="s">
        <v>46</v>
      </c>
      <c r="G57" s="379">
        <v>2</v>
      </c>
      <c r="H57" s="361">
        <v>0.23039999999999997</v>
      </c>
      <c r="I57" s="379">
        <v>28</v>
      </c>
      <c r="J57" s="396">
        <v>6.4511999999999992</v>
      </c>
      <c r="K57" s="381">
        <v>70.963199999999986</v>
      </c>
      <c r="L57" s="361"/>
      <c r="M57" s="356">
        <f t="shared" si="4"/>
        <v>835.89119999999991</v>
      </c>
      <c r="N57" s="346">
        <f t="shared" si="10"/>
        <v>3628</v>
      </c>
      <c r="O57" s="357">
        <f t="shared" si="0"/>
        <v>580.48</v>
      </c>
    </row>
    <row r="58" spans="1:15" ht="15" customHeight="1" x14ac:dyDescent="0.2">
      <c r="A58" s="1315"/>
      <c r="B58" s="382"/>
      <c r="C58" s="395">
        <v>1200</v>
      </c>
      <c r="D58" s="359">
        <v>600</v>
      </c>
      <c r="E58" s="394">
        <v>170</v>
      </c>
      <c r="F58" s="395" t="s">
        <v>46</v>
      </c>
      <c r="G58" s="379">
        <v>2</v>
      </c>
      <c r="H58" s="361">
        <v>0.24479999999999999</v>
      </c>
      <c r="I58" s="379">
        <v>28</v>
      </c>
      <c r="J58" s="396">
        <v>6.8544</v>
      </c>
      <c r="K58" s="381">
        <v>75.398399999999995</v>
      </c>
      <c r="L58" s="361"/>
      <c r="M58" s="356">
        <f t="shared" si="4"/>
        <v>888.13439999999991</v>
      </c>
      <c r="N58" s="346">
        <f t="shared" si="10"/>
        <v>3628</v>
      </c>
      <c r="O58" s="357">
        <f t="shared" si="0"/>
        <v>616.76</v>
      </c>
    </row>
    <row r="59" spans="1:15" ht="15" customHeight="1" x14ac:dyDescent="0.2">
      <c r="A59" s="1315"/>
      <c r="B59" s="382"/>
      <c r="C59" s="395">
        <v>1200</v>
      </c>
      <c r="D59" s="359">
        <v>600</v>
      </c>
      <c r="E59" s="394">
        <v>180</v>
      </c>
      <c r="F59" s="395" t="s">
        <v>46</v>
      </c>
      <c r="G59" s="379">
        <v>2</v>
      </c>
      <c r="H59" s="361">
        <v>0.25919999999999999</v>
      </c>
      <c r="I59" s="379">
        <v>24</v>
      </c>
      <c r="J59" s="396">
        <v>6.2207999999999997</v>
      </c>
      <c r="K59" s="381">
        <v>68.428799999999995</v>
      </c>
      <c r="L59" s="361"/>
      <c r="M59" s="356">
        <f t="shared" si="4"/>
        <v>940.37759999999992</v>
      </c>
      <c r="N59" s="346">
        <f t="shared" si="10"/>
        <v>3628</v>
      </c>
      <c r="O59" s="357">
        <f t="shared" si="0"/>
        <v>653.04</v>
      </c>
    </row>
    <row r="60" spans="1:15" ht="15" customHeight="1" x14ac:dyDescent="0.2">
      <c r="A60" s="1315"/>
      <c r="B60" s="382"/>
      <c r="C60" s="395">
        <v>1200</v>
      </c>
      <c r="D60" s="359">
        <v>600</v>
      </c>
      <c r="E60" s="394">
        <v>190</v>
      </c>
      <c r="F60" s="395" t="s">
        <v>46</v>
      </c>
      <c r="G60" s="379">
        <v>2</v>
      </c>
      <c r="H60" s="361">
        <v>0.27359999999999995</v>
      </c>
      <c r="I60" s="379">
        <v>24</v>
      </c>
      <c r="J60" s="396">
        <v>6.5663999999999989</v>
      </c>
      <c r="K60" s="381">
        <v>72.230399999999989</v>
      </c>
      <c r="L60" s="361"/>
      <c r="M60" s="356">
        <f t="shared" si="4"/>
        <v>992.6207999999998</v>
      </c>
      <c r="N60" s="346">
        <f t="shared" si="10"/>
        <v>3628</v>
      </c>
      <c r="O60" s="357">
        <f t="shared" si="0"/>
        <v>689.32</v>
      </c>
    </row>
    <row r="61" spans="1:15" ht="15" customHeight="1" thickBot="1" x14ac:dyDescent="0.25">
      <c r="A61" s="1316"/>
      <c r="B61" s="421"/>
      <c r="C61" s="422">
        <v>1200</v>
      </c>
      <c r="D61" s="367">
        <v>600</v>
      </c>
      <c r="E61" s="423">
        <v>200</v>
      </c>
      <c r="F61" s="422" t="s">
        <v>46</v>
      </c>
      <c r="G61" s="424">
        <v>2</v>
      </c>
      <c r="H61" s="370">
        <v>0.28799999999999998</v>
      </c>
      <c r="I61" s="424">
        <v>24</v>
      </c>
      <c r="J61" s="425">
        <v>6.911999999999999</v>
      </c>
      <c r="K61" s="373">
        <v>76.031999999999982</v>
      </c>
      <c r="L61" s="370"/>
      <c r="M61" s="426">
        <f t="shared" si="4"/>
        <v>1044.864</v>
      </c>
      <c r="N61" s="346">
        <f t="shared" si="10"/>
        <v>3628</v>
      </c>
      <c r="O61" s="515">
        <f t="shared" si="0"/>
        <v>725.6</v>
      </c>
    </row>
    <row r="62" spans="1:15" ht="15" customHeight="1" x14ac:dyDescent="0.2">
      <c r="A62" s="376" t="s">
        <v>285</v>
      </c>
      <c r="B62" s="338" t="s">
        <v>315</v>
      </c>
      <c r="C62" s="427">
        <v>1200</v>
      </c>
      <c r="D62" s="340">
        <v>600</v>
      </c>
      <c r="E62" s="392">
        <v>50</v>
      </c>
      <c r="F62" s="341" t="s">
        <v>297</v>
      </c>
      <c r="G62" s="342">
        <v>4</v>
      </c>
      <c r="H62" s="343">
        <v>0.14399999999999999</v>
      </c>
      <c r="I62" s="342">
        <v>44</v>
      </c>
      <c r="J62" s="344">
        <v>6.3359999999999994</v>
      </c>
      <c r="K62" s="381">
        <v>69.695999999999998</v>
      </c>
      <c r="L62" s="343"/>
      <c r="M62" s="356">
        <f t="shared" si="4"/>
        <v>859.10399999999993</v>
      </c>
      <c r="N62" s="459">
        <v>5966</v>
      </c>
      <c r="O62" s="357">
        <f t="shared" si="0"/>
        <v>298.3</v>
      </c>
    </row>
    <row r="63" spans="1:15" ht="15" customHeight="1" x14ac:dyDescent="0.2">
      <c r="A63" s="393" t="s">
        <v>316</v>
      </c>
      <c r="B63" s="348" t="s">
        <v>317</v>
      </c>
      <c r="C63" s="395">
        <v>1200</v>
      </c>
      <c r="D63" s="359">
        <v>600</v>
      </c>
      <c r="E63" s="394">
        <v>60</v>
      </c>
      <c r="F63" s="395" t="s">
        <v>46</v>
      </c>
      <c r="G63" s="379">
        <v>4</v>
      </c>
      <c r="H63" s="361">
        <v>0.17280000000000001</v>
      </c>
      <c r="I63" s="379">
        <v>40</v>
      </c>
      <c r="J63" s="396">
        <v>6.9120000000000008</v>
      </c>
      <c r="K63" s="381">
        <v>76.032000000000011</v>
      </c>
      <c r="L63" s="361"/>
      <c r="M63" s="356">
        <f t="shared" si="4"/>
        <v>1030.9248</v>
      </c>
      <c r="N63" s="346">
        <f>N62</f>
        <v>5966</v>
      </c>
      <c r="O63" s="357">
        <f t="shared" si="0"/>
        <v>357.96</v>
      </c>
    </row>
    <row r="64" spans="1:15" ht="15" customHeight="1" x14ac:dyDescent="0.2">
      <c r="A64" s="1315" t="s">
        <v>30</v>
      </c>
      <c r="B64" s="420"/>
      <c r="C64" s="395">
        <v>1200</v>
      </c>
      <c r="D64" s="359">
        <v>600</v>
      </c>
      <c r="E64" s="394">
        <v>70</v>
      </c>
      <c r="F64" s="395" t="s">
        <v>46</v>
      </c>
      <c r="G64" s="379">
        <v>3</v>
      </c>
      <c r="H64" s="361">
        <v>0.1512</v>
      </c>
      <c r="I64" s="379">
        <v>44</v>
      </c>
      <c r="J64" s="396">
        <v>6.6528</v>
      </c>
      <c r="K64" s="381">
        <v>73.180800000000005</v>
      </c>
      <c r="L64" s="361"/>
      <c r="M64" s="356">
        <f t="shared" si="4"/>
        <v>902.05920000000003</v>
      </c>
      <c r="N64" s="346">
        <f t="shared" ref="N64:N77" si="11">N63</f>
        <v>5966</v>
      </c>
      <c r="O64" s="357">
        <f t="shared" si="0"/>
        <v>417.62</v>
      </c>
    </row>
    <row r="65" spans="1:15" ht="15" customHeight="1" x14ac:dyDescent="0.2">
      <c r="A65" s="1315"/>
      <c r="B65" s="348" t="s">
        <v>318</v>
      </c>
      <c r="C65" s="395">
        <v>1200</v>
      </c>
      <c r="D65" s="359">
        <v>600</v>
      </c>
      <c r="E65" s="394">
        <v>80</v>
      </c>
      <c r="F65" s="395" t="s">
        <v>46</v>
      </c>
      <c r="G65" s="379">
        <v>3</v>
      </c>
      <c r="H65" s="361">
        <v>0.17280000000000001</v>
      </c>
      <c r="I65" s="379">
        <v>40</v>
      </c>
      <c r="J65" s="396">
        <v>6.9120000000000008</v>
      </c>
      <c r="K65" s="381">
        <v>76.032000000000011</v>
      </c>
      <c r="L65" s="361"/>
      <c r="M65" s="356">
        <f t="shared" si="4"/>
        <v>1030.9248</v>
      </c>
      <c r="N65" s="346">
        <f t="shared" si="11"/>
        <v>5966</v>
      </c>
      <c r="O65" s="357">
        <f t="shared" si="0"/>
        <v>477.28</v>
      </c>
    </row>
    <row r="66" spans="1:15" ht="15" customHeight="1" x14ac:dyDescent="0.2">
      <c r="A66" s="1315"/>
      <c r="B66" s="382"/>
      <c r="C66" s="395">
        <v>1200</v>
      </c>
      <c r="D66" s="359">
        <v>600</v>
      </c>
      <c r="E66" s="394">
        <v>90</v>
      </c>
      <c r="F66" s="395" t="s">
        <v>46</v>
      </c>
      <c r="G66" s="379">
        <v>2</v>
      </c>
      <c r="H66" s="361">
        <v>0.12959999999999999</v>
      </c>
      <c r="I66" s="379">
        <v>52</v>
      </c>
      <c r="J66" s="396">
        <v>6.7391999999999994</v>
      </c>
      <c r="K66" s="381">
        <v>74.131199999999993</v>
      </c>
      <c r="L66" s="361"/>
      <c r="M66" s="356">
        <f t="shared" si="4"/>
        <v>773.19359999999995</v>
      </c>
      <c r="N66" s="346">
        <f t="shared" si="11"/>
        <v>5966</v>
      </c>
      <c r="O66" s="357">
        <f t="shared" si="0"/>
        <v>536.94000000000005</v>
      </c>
    </row>
    <row r="67" spans="1:15" ht="15" customHeight="1" x14ac:dyDescent="0.2">
      <c r="A67" s="1315"/>
      <c r="B67" s="348" t="s">
        <v>319</v>
      </c>
      <c r="C67" s="395">
        <v>1200</v>
      </c>
      <c r="D67" s="359">
        <v>600</v>
      </c>
      <c r="E67" s="394">
        <v>100</v>
      </c>
      <c r="F67" s="416" t="s">
        <v>297</v>
      </c>
      <c r="G67" s="379">
        <v>2</v>
      </c>
      <c r="H67" s="361">
        <v>0.14399999999999999</v>
      </c>
      <c r="I67" s="379">
        <v>48</v>
      </c>
      <c r="J67" s="396">
        <v>6.911999999999999</v>
      </c>
      <c r="K67" s="381">
        <v>76.031999999999982</v>
      </c>
      <c r="L67" s="361"/>
      <c r="M67" s="356">
        <f t="shared" si="4"/>
        <v>859.10399999999993</v>
      </c>
      <c r="N67" s="346">
        <f t="shared" si="11"/>
        <v>5966</v>
      </c>
      <c r="O67" s="357">
        <f t="shared" si="0"/>
        <v>596.6</v>
      </c>
    </row>
    <row r="68" spans="1:15" ht="15" customHeight="1" x14ac:dyDescent="0.2">
      <c r="A68" s="1315"/>
      <c r="B68" s="382"/>
      <c r="C68" s="395">
        <v>1200</v>
      </c>
      <c r="D68" s="359">
        <v>600</v>
      </c>
      <c r="E68" s="394">
        <v>110</v>
      </c>
      <c r="F68" s="395" t="s">
        <v>46</v>
      </c>
      <c r="G68" s="379">
        <v>2</v>
      </c>
      <c r="H68" s="361">
        <v>0.15840000000000001</v>
      </c>
      <c r="I68" s="379">
        <v>40</v>
      </c>
      <c r="J68" s="396">
        <v>6.3360000000000003</v>
      </c>
      <c r="K68" s="381">
        <v>69.695999999999998</v>
      </c>
      <c r="L68" s="361"/>
      <c r="M68" s="356">
        <f t="shared" si="4"/>
        <v>945.01440000000002</v>
      </c>
      <c r="N68" s="346">
        <f t="shared" si="11"/>
        <v>5966</v>
      </c>
      <c r="O68" s="357">
        <f t="shared" si="0"/>
        <v>656.26</v>
      </c>
    </row>
    <row r="69" spans="1:15" ht="15" customHeight="1" x14ac:dyDescent="0.2">
      <c r="A69" s="1315"/>
      <c r="B69" s="348" t="s">
        <v>320</v>
      </c>
      <c r="C69" s="395">
        <v>1200</v>
      </c>
      <c r="D69" s="359">
        <v>600</v>
      </c>
      <c r="E69" s="394">
        <v>120</v>
      </c>
      <c r="F69" s="395" t="s">
        <v>46</v>
      </c>
      <c r="G69" s="379">
        <v>2</v>
      </c>
      <c r="H69" s="361">
        <v>0.17280000000000001</v>
      </c>
      <c r="I69" s="379">
        <v>40</v>
      </c>
      <c r="J69" s="396">
        <v>6.9120000000000008</v>
      </c>
      <c r="K69" s="381">
        <v>76.032000000000011</v>
      </c>
      <c r="L69" s="361"/>
      <c r="M69" s="356">
        <f t="shared" si="4"/>
        <v>1030.9248</v>
      </c>
      <c r="N69" s="346">
        <f t="shared" si="11"/>
        <v>5966</v>
      </c>
      <c r="O69" s="357">
        <f t="shared" si="0"/>
        <v>715.92</v>
      </c>
    </row>
    <row r="70" spans="1:15" ht="15" customHeight="1" x14ac:dyDescent="0.2">
      <c r="A70" s="1315"/>
      <c r="B70" s="382"/>
      <c r="C70" s="395">
        <v>1200</v>
      </c>
      <c r="D70" s="359">
        <v>600</v>
      </c>
      <c r="E70" s="394">
        <v>130</v>
      </c>
      <c r="F70" s="395" t="s">
        <v>46</v>
      </c>
      <c r="G70" s="379">
        <v>2</v>
      </c>
      <c r="H70" s="361">
        <v>0.18720000000000001</v>
      </c>
      <c r="I70" s="379">
        <v>36</v>
      </c>
      <c r="J70" s="396">
        <v>6.7392000000000003</v>
      </c>
      <c r="K70" s="381">
        <v>74.131200000000007</v>
      </c>
      <c r="L70" s="361"/>
      <c r="M70" s="356">
        <f t="shared" si="4"/>
        <v>1116.8352</v>
      </c>
      <c r="N70" s="346">
        <f t="shared" si="11"/>
        <v>5966</v>
      </c>
      <c r="O70" s="357">
        <f t="shared" si="0"/>
        <v>775.58</v>
      </c>
    </row>
    <row r="71" spans="1:15" ht="15" customHeight="1" x14ac:dyDescent="0.2">
      <c r="A71" s="1315"/>
      <c r="B71" s="382"/>
      <c r="C71" s="395">
        <v>1200</v>
      </c>
      <c r="D71" s="359">
        <v>600</v>
      </c>
      <c r="E71" s="394">
        <v>140</v>
      </c>
      <c r="F71" s="395" t="s">
        <v>46</v>
      </c>
      <c r="G71" s="379">
        <v>2</v>
      </c>
      <c r="H71" s="361">
        <v>0.2016</v>
      </c>
      <c r="I71" s="379">
        <v>32</v>
      </c>
      <c r="J71" s="396">
        <v>6.4512</v>
      </c>
      <c r="K71" s="381">
        <v>70.963200000000001</v>
      </c>
      <c r="L71" s="361"/>
      <c r="M71" s="356">
        <f t="shared" si="4"/>
        <v>1202.7456</v>
      </c>
      <c r="N71" s="346">
        <f t="shared" si="11"/>
        <v>5966</v>
      </c>
      <c r="O71" s="357">
        <f t="shared" ref="O71:O105" si="12">N71*E71/1000</f>
        <v>835.24</v>
      </c>
    </row>
    <row r="72" spans="1:15" ht="15" customHeight="1" x14ac:dyDescent="0.2">
      <c r="A72" s="1315"/>
      <c r="B72" s="348" t="s">
        <v>321</v>
      </c>
      <c r="C72" s="395">
        <v>1200</v>
      </c>
      <c r="D72" s="359">
        <v>600</v>
      </c>
      <c r="E72" s="394">
        <v>150</v>
      </c>
      <c r="F72" s="395" t="s">
        <v>46</v>
      </c>
      <c r="G72" s="379">
        <v>2</v>
      </c>
      <c r="H72" s="361">
        <v>0.216</v>
      </c>
      <c r="I72" s="379">
        <v>32</v>
      </c>
      <c r="J72" s="396">
        <v>6.9119999999999999</v>
      </c>
      <c r="K72" s="381">
        <v>76.031999999999996</v>
      </c>
      <c r="L72" s="361"/>
      <c r="M72" s="356">
        <f t="shared" si="4"/>
        <v>1288.6559999999999</v>
      </c>
      <c r="N72" s="346">
        <f t="shared" si="11"/>
        <v>5966</v>
      </c>
      <c r="O72" s="357">
        <f t="shared" si="12"/>
        <v>894.9</v>
      </c>
    </row>
    <row r="73" spans="1:15" ht="15" customHeight="1" x14ac:dyDescent="0.2">
      <c r="A73" s="1315"/>
      <c r="B73" s="382"/>
      <c r="C73" s="395">
        <v>1200</v>
      </c>
      <c r="D73" s="359">
        <v>600</v>
      </c>
      <c r="E73" s="394">
        <v>160</v>
      </c>
      <c r="F73" s="395" t="s">
        <v>46</v>
      </c>
      <c r="G73" s="379">
        <v>2</v>
      </c>
      <c r="H73" s="361">
        <v>0.23039999999999999</v>
      </c>
      <c r="I73" s="379">
        <v>28</v>
      </c>
      <c r="J73" s="396">
        <v>6.4512</v>
      </c>
      <c r="K73" s="381">
        <v>70.963200000000001</v>
      </c>
      <c r="L73" s="361"/>
      <c r="M73" s="356">
        <f t="shared" si="4"/>
        <v>1374.5663999999999</v>
      </c>
      <c r="N73" s="346">
        <f t="shared" si="11"/>
        <v>5966</v>
      </c>
      <c r="O73" s="357">
        <f t="shared" si="12"/>
        <v>954.56</v>
      </c>
    </row>
    <row r="74" spans="1:15" ht="15" customHeight="1" x14ac:dyDescent="0.2">
      <c r="A74" s="1315"/>
      <c r="B74" s="382"/>
      <c r="C74" s="395">
        <v>1200</v>
      </c>
      <c r="D74" s="359">
        <v>600</v>
      </c>
      <c r="E74" s="394">
        <v>170</v>
      </c>
      <c r="F74" s="395" t="s">
        <v>46</v>
      </c>
      <c r="G74" s="379">
        <v>2</v>
      </c>
      <c r="H74" s="361">
        <v>0.24479999999999999</v>
      </c>
      <c r="I74" s="379">
        <v>28</v>
      </c>
      <c r="J74" s="396">
        <v>6.8544</v>
      </c>
      <c r="K74" s="381">
        <v>75.398399999999995</v>
      </c>
      <c r="L74" s="361"/>
      <c r="M74" s="356">
        <f t="shared" si="4"/>
        <v>1460.4767999999999</v>
      </c>
      <c r="N74" s="346">
        <f t="shared" si="11"/>
        <v>5966</v>
      </c>
      <c r="O74" s="357">
        <f t="shared" si="12"/>
        <v>1014.22</v>
      </c>
    </row>
    <row r="75" spans="1:15" ht="15" customHeight="1" x14ac:dyDescent="0.2">
      <c r="A75" s="1315"/>
      <c r="B75" s="382"/>
      <c r="C75" s="395">
        <v>1200</v>
      </c>
      <c r="D75" s="359">
        <v>600</v>
      </c>
      <c r="E75" s="394">
        <v>180</v>
      </c>
      <c r="F75" s="395" t="s">
        <v>46</v>
      </c>
      <c r="G75" s="379">
        <v>2</v>
      </c>
      <c r="H75" s="361">
        <v>0.25919999999999999</v>
      </c>
      <c r="I75" s="379">
        <v>26</v>
      </c>
      <c r="J75" s="396">
        <v>6.7391999999999994</v>
      </c>
      <c r="K75" s="381">
        <v>74.131199999999993</v>
      </c>
      <c r="L75" s="361"/>
      <c r="M75" s="356">
        <f t="shared" si="4"/>
        <v>1546.3871999999999</v>
      </c>
      <c r="N75" s="346">
        <f t="shared" si="11"/>
        <v>5966</v>
      </c>
      <c r="O75" s="357">
        <f t="shared" si="12"/>
        <v>1073.8800000000001</v>
      </c>
    </row>
    <row r="76" spans="1:15" ht="15" customHeight="1" x14ac:dyDescent="0.2">
      <c r="A76" s="1315"/>
      <c r="B76" s="382"/>
      <c r="C76" s="395">
        <v>1200</v>
      </c>
      <c r="D76" s="359">
        <v>600</v>
      </c>
      <c r="E76" s="394">
        <v>190</v>
      </c>
      <c r="F76" s="395" t="s">
        <v>46</v>
      </c>
      <c r="G76" s="379">
        <v>2</v>
      </c>
      <c r="H76" s="361">
        <v>0.27360000000000001</v>
      </c>
      <c r="I76" s="379">
        <v>24</v>
      </c>
      <c r="J76" s="396">
        <v>6.5663999999999998</v>
      </c>
      <c r="K76" s="381">
        <v>72.230400000000003</v>
      </c>
      <c r="L76" s="361"/>
      <c r="M76" s="356">
        <f t="shared" ref="M76:M112" si="13">N76*H76</f>
        <v>1632.2976000000001</v>
      </c>
      <c r="N76" s="346">
        <f t="shared" si="11"/>
        <v>5966</v>
      </c>
      <c r="O76" s="357">
        <f t="shared" si="12"/>
        <v>1133.54</v>
      </c>
    </row>
    <row r="77" spans="1:15" ht="15" customHeight="1" thickBot="1" x14ac:dyDescent="0.25">
      <c r="A77" s="1316"/>
      <c r="B77" s="421"/>
      <c r="C77" s="422">
        <v>1200</v>
      </c>
      <c r="D77" s="367">
        <v>600</v>
      </c>
      <c r="E77" s="423">
        <v>200</v>
      </c>
      <c r="F77" s="422" t="s">
        <v>46</v>
      </c>
      <c r="G77" s="424">
        <v>2</v>
      </c>
      <c r="H77" s="370">
        <v>0.28799999999999998</v>
      </c>
      <c r="I77" s="424">
        <v>24</v>
      </c>
      <c r="J77" s="425">
        <v>6.911999999999999</v>
      </c>
      <c r="K77" s="373">
        <v>76.031999999999982</v>
      </c>
      <c r="L77" s="370"/>
      <c r="M77" s="426">
        <f t="shared" si="13"/>
        <v>1718.2079999999999</v>
      </c>
      <c r="N77" s="375">
        <f t="shared" si="11"/>
        <v>5966</v>
      </c>
      <c r="O77" s="515">
        <f t="shared" si="12"/>
        <v>1193.2</v>
      </c>
    </row>
    <row r="78" spans="1:15" ht="15" customHeight="1" x14ac:dyDescent="0.2">
      <c r="A78" s="376" t="s">
        <v>322</v>
      </c>
      <c r="B78" s="428" t="s">
        <v>323</v>
      </c>
      <c r="C78" s="429">
        <v>1200</v>
      </c>
      <c r="D78" s="430">
        <v>600</v>
      </c>
      <c r="E78" s="431">
        <v>50</v>
      </c>
      <c r="F78" s="395" t="s">
        <v>46</v>
      </c>
      <c r="G78" s="432">
        <v>6</v>
      </c>
      <c r="H78" s="433">
        <v>0.216</v>
      </c>
      <c r="I78" s="432">
        <v>32</v>
      </c>
      <c r="J78" s="434">
        <v>6.9119999999999999</v>
      </c>
      <c r="K78" s="381">
        <v>76.031999999999996</v>
      </c>
      <c r="L78" s="433"/>
      <c r="M78" s="356">
        <f t="shared" si="13"/>
        <v>968.11199999999997</v>
      </c>
      <c r="N78" s="516">
        <v>4482</v>
      </c>
      <c r="O78" s="357">
        <f t="shared" si="12"/>
        <v>224.1</v>
      </c>
    </row>
    <row r="79" spans="1:15" ht="15" customHeight="1" x14ac:dyDescent="0.2">
      <c r="A79" s="393" t="s">
        <v>324</v>
      </c>
      <c r="B79" s="435" t="s">
        <v>325</v>
      </c>
      <c r="C79" s="395">
        <v>1200</v>
      </c>
      <c r="D79" s="359">
        <v>600</v>
      </c>
      <c r="E79" s="394">
        <v>60</v>
      </c>
      <c r="F79" s="395" t="s">
        <v>46</v>
      </c>
      <c r="G79" s="379">
        <v>4</v>
      </c>
      <c r="H79" s="361">
        <v>0.17280000000000001</v>
      </c>
      <c r="I79" s="379">
        <v>40</v>
      </c>
      <c r="J79" s="396">
        <v>6.9120000000000008</v>
      </c>
      <c r="K79" s="381">
        <v>76.032000000000011</v>
      </c>
      <c r="L79" s="361"/>
      <c r="M79" s="356">
        <f t="shared" si="13"/>
        <v>774.4896</v>
      </c>
      <c r="N79" s="346">
        <f>N78</f>
        <v>4482</v>
      </c>
      <c r="O79" s="357">
        <f t="shared" si="12"/>
        <v>268.92</v>
      </c>
    </row>
    <row r="80" spans="1:15" ht="15" customHeight="1" x14ac:dyDescent="0.2">
      <c r="A80" s="1317" t="s">
        <v>28</v>
      </c>
      <c r="B80" s="420"/>
      <c r="C80" s="395">
        <v>1200</v>
      </c>
      <c r="D80" s="359">
        <v>600</v>
      </c>
      <c r="E80" s="394">
        <v>70</v>
      </c>
      <c r="F80" s="395" t="s">
        <v>46</v>
      </c>
      <c r="G80" s="379">
        <v>4</v>
      </c>
      <c r="H80" s="361">
        <v>0.2016</v>
      </c>
      <c r="I80" s="379">
        <v>32</v>
      </c>
      <c r="J80" s="396">
        <v>6.4512</v>
      </c>
      <c r="K80" s="381">
        <v>70.963200000000001</v>
      </c>
      <c r="L80" s="361"/>
      <c r="M80" s="356">
        <f t="shared" si="13"/>
        <v>903.57119999999998</v>
      </c>
      <c r="N80" s="346">
        <f t="shared" ref="N80:N93" si="14">N79</f>
        <v>4482</v>
      </c>
      <c r="O80" s="357">
        <f t="shared" si="12"/>
        <v>313.74</v>
      </c>
    </row>
    <row r="81" spans="1:15" ht="15" customHeight="1" x14ac:dyDescent="0.2">
      <c r="A81" s="1317"/>
      <c r="B81" s="435" t="s">
        <v>326</v>
      </c>
      <c r="C81" s="395">
        <v>1200</v>
      </c>
      <c r="D81" s="359">
        <v>600</v>
      </c>
      <c r="E81" s="394">
        <v>80</v>
      </c>
      <c r="F81" s="395" t="s">
        <v>46</v>
      </c>
      <c r="G81" s="379">
        <v>3</v>
      </c>
      <c r="H81" s="361">
        <v>0.17280000000000001</v>
      </c>
      <c r="I81" s="379">
        <v>40</v>
      </c>
      <c r="J81" s="396">
        <v>6.9120000000000008</v>
      </c>
      <c r="K81" s="381">
        <v>76.032000000000011</v>
      </c>
      <c r="L81" s="361"/>
      <c r="M81" s="356">
        <f t="shared" si="13"/>
        <v>774.4896</v>
      </c>
      <c r="N81" s="346">
        <f t="shared" si="14"/>
        <v>4482</v>
      </c>
      <c r="O81" s="357">
        <f t="shared" si="12"/>
        <v>358.56</v>
      </c>
    </row>
    <row r="82" spans="1:15" ht="15" customHeight="1" x14ac:dyDescent="0.2">
      <c r="A82" s="1317"/>
      <c r="B82" s="420"/>
      <c r="C82" s="395">
        <v>1200</v>
      </c>
      <c r="D82" s="359">
        <v>600</v>
      </c>
      <c r="E82" s="394">
        <v>90</v>
      </c>
      <c r="F82" s="395" t="s">
        <v>46</v>
      </c>
      <c r="G82" s="379">
        <v>3</v>
      </c>
      <c r="H82" s="361">
        <v>0.19439999999999999</v>
      </c>
      <c r="I82" s="379">
        <v>32</v>
      </c>
      <c r="J82" s="396">
        <v>6.2207999999999997</v>
      </c>
      <c r="K82" s="381">
        <v>68.428799999999995</v>
      </c>
      <c r="L82" s="361"/>
      <c r="M82" s="356">
        <f t="shared" si="13"/>
        <v>871.30079999999998</v>
      </c>
      <c r="N82" s="346">
        <f t="shared" si="14"/>
        <v>4482</v>
      </c>
      <c r="O82" s="357">
        <f t="shared" si="12"/>
        <v>403.38</v>
      </c>
    </row>
    <row r="83" spans="1:15" ht="15" customHeight="1" x14ac:dyDescent="0.2">
      <c r="A83" s="1317"/>
      <c r="B83" s="435" t="s">
        <v>327</v>
      </c>
      <c r="C83" s="395">
        <v>1200</v>
      </c>
      <c r="D83" s="359">
        <v>600</v>
      </c>
      <c r="E83" s="394">
        <v>100</v>
      </c>
      <c r="F83" s="416" t="s">
        <v>297</v>
      </c>
      <c r="G83" s="379">
        <v>3</v>
      </c>
      <c r="H83" s="361">
        <v>0.216</v>
      </c>
      <c r="I83" s="379">
        <v>32</v>
      </c>
      <c r="J83" s="396">
        <v>6.9119999999999999</v>
      </c>
      <c r="K83" s="381">
        <v>76.031999999999996</v>
      </c>
      <c r="L83" s="361"/>
      <c r="M83" s="356">
        <f t="shared" si="13"/>
        <v>968.11199999999997</v>
      </c>
      <c r="N83" s="346">
        <f t="shared" si="14"/>
        <v>4482</v>
      </c>
      <c r="O83" s="357">
        <f t="shared" si="12"/>
        <v>448.2</v>
      </c>
    </row>
    <row r="84" spans="1:15" ht="15" customHeight="1" x14ac:dyDescent="0.2">
      <c r="A84" s="1317"/>
      <c r="B84" s="435" t="s">
        <v>328</v>
      </c>
      <c r="C84" s="395">
        <v>1200</v>
      </c>
      <c r="D84" s="359">
        <v>600</v>
      </c>
      <c r="E84" s="394">
        <v>110</v>
      </c>
      <c r="F84" s="395" t="s">
        <v>46</v>
      </c>
      <c r="G84" s="379">
        <v>3</v>
      </c>
      <c r="H84" s="361">
        <v>0.23760000000000001</v>
      </c>
      <c r="I84" s="379">
        <v>28</v>
      </c>
      <c r="J84" s="396">
        <v>6.6528</v>
      </c>
      <c r="K84" s="381">
        <v>73.180800000000005</v>
      </c>
      <c r="L84" s="361"/>
      <c r="M84" s="356">
        <f t="shared" si="13"/>
        <v>1064.9232</v>
      </c>
      <c r="N84" s="346">
        <f t="shared" si="14"/>
        <v>4482</v>
      </c>
      <c r="O84" s="357">
        <f t="shared" si="12"/>
        <v>493.02</v>
      </c>
    </row>
    <row r="85" spans="1:15" ht="15" customHeight="1" x14ac:dyDescent="0.2">
      <c r="A85" s="1317"/>
      <c r="B85" s="435" t="s">
        <v>329</v>
      </c>
      <c r="C85" s="395">
        <v>1200</v>
      </c>
      <c r="D85" s="359">
        <v>600</v>
      </c>
      <c r="E85" s="394">
        <v>120</v>
      </c>
      <c r="F85" s="395" t="s">
        <v>46</v>
      </c>
      <c r="G85" s="379">
        <v>2</v>
      </c>
      <c r="H85" s="361">
        <v>0.17280000000000001</v>
      </c>
      <c r="I85" s="379">
        <v>40</v>
      </c>
      <c r="J85" s="396">
        <v>6.9120000000000008</v>
      </c>
      <c r="K85" s="381">
        <v>76.032000000000011</v>
      </c>
      <c r="L85" s="361"/>
      <c r="M85" s="356">
        <f t="shared" si="13"/>
        <v>774.4896</v>
      </c>
      <c r="N85" s="346">
        <f t="shared" si="14"/>
        <v>4482</v>
      </c>
      <c r="O85" s="357">
        <f t="shared" si="12"/>
        <v>537.84</v>
      </c>
    </row>
    <row r="86" spans="1:15" ht="15" customHeight="1" x14ac:dyDescent="0.2">
      <c r="A86" s="1317"/>
      <c r="B86" s="435" t="s">
        <v>330</v>
      </c>
      <c r="C86" s="395">
        <v>1200</v>
      </c>
      <c r="D86" s="359">
        <v>600</v>
      </c>
      <c r="E86" s="394">
        <v>130</v>
      </c>
      <c r="F86" s="395" t="s">
        <v>46</v>
      </c>
      <c r="G86" s="379">
        <v>2</v>
      </c>
      <c r="H86" s="361">
        <v>0.18720000000000001</v>
      </c>
      <c r="I86" s="379">
        <v>36</v>
      </c>
      <c r="J86" s="396">
        <v>6.7392000000000003</v>
      </c>
      <c r="K86" s="381">
        <v>74.131200000000007</v>
      </c>
      <c r="L86" s="361"/>
      <c r="M86" s="356">
        <f t="shared" si="13"/>
        <v>839.03039999999999</v>
      </c>
      <c r="N86" s="346">
        <f t="shared" si="14"/>
        <v>4482</v>
      </c>
      <c r="O86" s="357">
        <f t="shared" si="12"/>
        <v>582.66</v>
      </c>
    </row>
    <row r="87" spans="1:15" ht="15" customHeight="1" x14ac:dyDescent="0.2">
      <c r="A87" s="1317"/>
      <c r="B87" s="420"/>
      <c r="C87" s="395">
        <v>1200</v>
      </c>
      <c r="D87" s="359">
        <v>600</v>
      </c>
      <c r="E87" s="394">
        <v>140</v>
      </c>
      <c r="F87" s="395" t="s">
        <v>46</v>
      </c>
      <c r="G87" s="379">
        <v>2</v>
      </c>
      <c r="H87" s="361">
        <v>0.2016</v>
      </c>
      <c r="I87" s="379">
        <v>36</v>
      </c>
      <c r="J87" s="396">
        <v>6.4512</v>
      </c>
      <c r="K87" s="381">
        <v>70.963200000000001</v>
      </c>
      <c r="L87" s="361"/>
      <c r="M87" s="356">
        <f t="shared" si="13"/>
        <v>903.57119999999998</v>
      </c>
      <c r="N87" s="346">
        <f t="shared" si="14"/>
        <v>4482</v>
      </c>
      <c r="O87" s="357">
        <f t="shared" si="12"/>
        <v>627.48</v>
      </c>
    </row>
    <row r="88" spans="1:15" ht="15" customHeight="1" x14ac:dyDescent="0.2">
      <c r="A88" s="1317"/>
      <c r="B88" s="435" t="s">
        <v>331</v>
      </c>
      <c r="C88" s="395">
        <v>1200</v>
      </c>
      <c r="D88" s="359">
        <v>600</v>
      </c>
      <c r="E88" s="394">
        <v>150</v>
      </c>
      <c r="F88" s="395" t="s">
        <v>46</v>
      </c>
      <c r="G88" s="379">
        <v>2</v>
      </c>
      <c r="H88" s="361">
        <v>0.216</v>
      </c>
      <c r="I88" s="379">
        <v>32</v>
      </c>
      <c r="J88" s="396">
        <v>6.9119999999999999</v>
      </c>
      <c r="K88" s="381">
        <v>76.031999999999996</v>
      </c>
      <c r="L88" s="361"/>
      <c r="M88" s="356">
        <f t="shared" si="13"/>
        <v>968.11199999999997</v>
      </c>
      <c r="N88" s="346">
        <f t="shared" si="14"/>
        <v>4482</v>
      </c>
      <c r="O88" s="357">
        <f t="shared" si="12"/>
        <v>672.3</v>
      </c>
    </row>
    <row r="89" spans="1:15" ht="15" customHeight="1" x14ac:dyDescent="0.2">
      <c r="A89" s="1317"/>
      <c r="B89" s="420"/>
      <c r="C89" s="395">
        <v>1200</v>
      </c>
      <c r="D89" s="359">
        <v>600</v>
      </c>
      <c r="E89" s="394">
        <v>160</v>
      </c>
      <c r="F89" s="395" t="s">
        <v>46</v>
      </c>
      <c r="G89" s="379">
        <v>2</v>
      </c>
      <c r="H89" s="361">
        <v>0.23039999999999999</v>
      </c>
      <c r="I89" s="379">
        <v>28</v>
      </c>
      <c r="J89" s="396">
        <v>6.4512</v>
      </c>
      <c r="K89" s="381">
        <v>70.963200000000001</v>
      </c>
      <c r="L89" s="361"/>
      <c r="M89" s="356">
        <f t="shared" si="13"/>
        <v>1032.6528000000001</v>
      </c>
      <c r="N89" s="346">
        <f t="shared" si="14"/>
        <v>4482</v>
      </c>
      <c r="O89" s="357">
        <f t="shared" si="12"/>
        <v>717.12</v>
      </c>
    </row>
    <row r="90" spans="1:15" ht="15" customHeight="1" x14ac:dyDescent="0.2">
      <c r="A90" s="1317"/>
      <c r="B90" s="382"/>
      <c r="C90" s="395">
        <v>1200</v>
      </c>
      <c r="D90" s="359">
        <v>600</v>
      </c>
      <c r="E90" s="394">
        <v>170</v>
      </c>
      <c r="F90" s="395" t="s">
        <v>46</v>
      </c>
      <c r="G90" s="379">
        <v>2</v>
      </c>
      <c r="H90" s="361">
        <v>0.24479999999999999</v>
      </c>
      <c r="I90" s="379">
        <v>28</v>
      </c>
      <c r="J90" s="396">
        <v>6.8544</v>
      </c>
      <c r="K90" s="381">
        <v>75.398399999999995</v>
      </c>
      <c r="L90" s="361"/>
      <c r="M90" s="356">
        <f t="shared" si="13"/>
        <v>1097.1936000000001</v>
      </c>
      <c r="N90" s="346">
        <f t="shared" si="14"/>
        <v>4482</v>
      </c>
      <c r="O90" s="357">
        <f t="shared" si="12"/>
        <v>761.94</v>
      </c>
    </row>
    <row r="91" spans="1:15" ht="15" customHeight="1" x14ac:dyDescent="0.2">
      <c r="A91" s="1317"/>
      <c r="B91" s="382"/>
      <c r="C91" s="395">
        <v>1200</v>
      </c>
      <c r="D91" s="359">
        <v>600</v>
      </c>
      <c r="E91" s="394">
        <v>180</v>
      </c>
      <c r="F91" s="395" t="s">
        <v>46</v>
      </c>
      <c r="G91" s="379">
        <v>2</v>
      </c>
      <c r="H91" s="361">
        <v>0.25919999999999999</v>
      </c>
      <c r="I91" s="379">
        <v>24</v>
      </c>
      <c r="J91" s="396">
        <v>6.2207999999999997</v>
      </c>
      <c r="K91" s="381">
        <v>68.428799999999995</v>
      </c>
      <c r="L91" s="361"/>
      <c r="M91" s="356">
        <f t="shared" si="13"/>
        <v>1161.7344000000001</v>
      </c>
      <c r="N91" s="346">
        <f t="shared" si="14"/>
        <v>4482</v>
      </c>
      <c r="O91" s="357">
        <f t="shared" si="12"/>
        <v>806.76</v>
      </c>
    </row>
    <row r="92" spans="1:15" ht="15" customHeight="1" x14ac:dyDescent="0.2">
      <c r="A92" s="1317"/>
      <c r="B92" s="382"/>
      <c r="C92" s="395">
        <v>1200</v>
      </c>
      <c r="D92" s="359">
        <v>600</v>
      </c>
      <c r="E92" s="394">
        <v>190</v>
      </c>
      <c r="F92" s="395" t="s">
        <v>46</v>
      </c>
      <c r="G92" s="379">
        <v>2</v>
      </c>
      <c r="H92" s="361">
        <v>0.27360000000000001</v>
      </c>
      <c r="I92" s="379">
        <v>24</v>
      </c>
      <c r="J92" s="396">
        <v>6.5663999999999998</v>
      </c>
      <c r="K92" s="381">
        <v>72.230400000000003</v>
      </c>
      <c r="L92" s="361"/>
      <c r="M92" s="356">
        <f t="shared" si="13"/>
        <v>1226.2752</v>
      </c>
      <c r="N92" s="346">
        <f t="shared" si="14"/>
        <v>4482</v>
      </c>
      <c r="O92" s="357">
        <f t="shared" si="12"/>
        <v>851.58</v>
      </c>
    </row>
    <row r="93" spans="1:15" ht="15" customHeight="1" thickBot="1" x14ac:dyDescent="0.25">
      <c r="A93" s="1318"/>
      <c r="B93" s="421"/>
      <c r="C93" s="422">
        <v>1200</v>
      </c>
      <c r="D93" s="367">
        <v>600</v>
      </c>
      <c r="E93" s="423">
        <v>200</v>
      </c>
      <c r="F93" s="422" t="s">
        <v>46</v>
      </c>
      <c r="G93" s="424">
        <v>2</v>
      </c>
      <c r="H93" s="370">
        <v>0.28799999999999998</v>
      </c>
      <c r="I93" s="424">
        <v>24</v>
      </c>
      <c r="J93" s="425">
        <v>6.911999999999999</v>
      </c>
      <c r="K93" s="373">
        <v>76.031999999999982</v>
      </c>
      <c r="L93" s="370"/>
      <c r="M93" s="426">
        <f t="shared" si="13"/>
        <v>1290.8159999999998</v>
      </c>
      <c r="N93" s="375">
        <f t="shared" si="14"/>
        <v>4482</v>
      </c>
      <c r="O93" s="515">
        <f t="shared" si="12"/>
        <v>896.4</v>
      </c>
    </row>
    <row r="94" spans="1:15" ht="15" customHeight="1" x14ac:dyDescent="0.2">
      <c r="A94" s="376" t="s">
        <v>332</v>
      </c>
      <c r="B94" s="428">
        <v>447808</v>
      </c>
      <c r="C94" s="427">
        <v>1200</v>
      </c>
      <c r="D94" s="340">
        <v>600</v>
      </c>
      <c r="E94" s="392">
        <v>50</v>
      </c>
      <c r="F94" s="427" t="s">
        <v>46</v>
      </c>
      <c r="G94" s="342">
        <v>6</v>
      </c>
      <c r="H94" s="343">
        <v>0.14399999999999999</v>
      </c>
      <c r="I94" s="342">
        <v>32</v>
      </c>
      <c r="J94" s="344">
        <v>6.9119999999999999</v>
      </c>
      <c r="K94" s="381">
        <v>76.031999999999996</v>
      </c>
      <c r="L94" s="343"/>
      <c r="M94" s="356">
        <f t="shared" si="13"/>
        <v>891.50399999999991</v>
      </c>
      <c r="N94" s="459">
        <v>6191</v>
      </c>
      <c r="O94" s="357">
        <f t="shared" si="12"/>
        <v>309.55</v>
      </c>
    </row>
    <row r="95" spans="1:15" ht="15" customHeight="1" x14ac:dyDescent="0.2">
      <c r="A95" s="436" t="s">
        <v>333</v>
      </c>
      <c r="B95" s="437"/>
      <c r="C95" s="395">
        <v>1200</v>
      </c>
      <c r="D95" s="359">
        <v>600</v>
      </c>
      <c r="E95" s="394">
        <v>60</v>
      </c>
      <c r="F95" s="395" t="s">
        <v>46</v>
      </c>
      <c r="G95" s="379">
        <v>4</v>
      </c>
      <c r="H95" s="361">
        <v>0.17280000000000001</v>
      </c>
      <c r="I95" s="379">
        <v>40</v>
      </c>
      <c r="J95" s="396">
        <v>6.9120000000000008</v>
      </c>
      <c r="K95" s="381">
        <v>76.032000000000011</v>
      </c>
      <c r="L95" s="361"/>
      <c r="M95" s="356">
        <f t="shared" si="13"/>
        <v>1069.8048000000001</v>
      </c>
      <c r="N95" s="346">
        <f>N94</f>
        <v>6191</v>
      </c>
      <c r="O95" s="357">
        <f t="shared" si="12"/>
        <v>371.46</v>
      </c>
    </row>
    <row r="96" spans="1:15" ht="15" customHeight="1" x14ac:dyDescent="0.2">
      <c r="A96" s="1312" t="s">
        <v>32</v>
      </c>
      <c r="B96" s="437"/>
      <c r="C96" s="395">
        <v>1200</v>
      </c>
      <c r="D96" s="359">
        <v>600</v>
      </c>
      <c r="E96" s="394">
        <v>70</v>
      </c>
      <c r="F96" s="395" t="s">
        <v>46</v>
      </c>
      <c r="G96" s="379">
        <v>3</v>
      </c>
      <c r="H96" s="361">
        <v>0.1512</v>
      </c>
      <c r="I96" s="379">
        <v>44</v>
      </c>
      <c r="J96" s="396">
        <v>6.6528</v>
      </c>
      <c r="K96" s="381">
        <v>73.180800000000005</v>
      </c>
      <c r="L96" s="361"/>
      <c r="M96" s="356">
        <f t="shared" si="13"/>
        <v>936.07920000000001</v>
      </c>
      <c r="N96" s="346">
        <f t="shared" ref="N96:N109" si="15">N95</f>
        <v>6191</v>
      </c>
      <c r="O96" s="357">
        <f t="shared" si="12"/>
        <v>433.37</v>
      </c>
    </row>
    <row r="97" spans="1:15" ht="15" customHeight="1" x14ac:dyDescent="0.2">
      <c r="A97" s="1312"/>
      <c r="B97" s="437"/>
      <c r="C97" s="395">
        <v>1200</v>
      </c>
      <c r="D97" s="359">
        <v>600</v>
      </c>
      <c r="E97" s="394">
        <v>80</v>
      </c>
      <c r="F97" s="395" t="s">
        <v>46</v>
      </c>
      <c r="G97" s="379">
        <v>3</v>
      </c>
      <c r="H97" s="361">
        <v>0.17280000000000001</v>
      </c>
      <c r="I97" s="379">
        <v>40</v>
      </c>
      <c r="J97" s="396">
        <v>6.9120000000000008</v>
      </c>
      <c r="K97" s="381">
        <v>76.032000000000011</v>
      </c>
      <c r="L97" s="361"/>
      <c r="M97" s="356">
        <f t="shared" si="13"/>
        <v>1069.8048000000001</v>
      </c>
      <c r="N97" s="346">
        <f t="shared" si="15"/>
        <v>6191</v>
      </c>
      <c r="O97" s="357">
        <f t="shared" si="12"/>
        <v>495.28</v>
      </c>
    </row>
    <row r="98" spans="1:15" ht="15" customHeight="1" x14ac:dyDescent="0.2">
      <c r="A98" s="1312"/>
      <c r="B98" s="437"/>
      <c r="C98" s="395">
        <v>1200</v>
      </c>
      <c r="D98" s="359">
        <v>600</v>
      </c>
      <c r="E98" s="394">
        <v>90</v>
      </c>
      <c r="F98" s="395" t="s">
        <v>46</v>
      </c>
      <c r="G98" s="379">
        <v>2</v>
      </c>
      <c r="H98" s="361">
        <v>0.12959999999999999</v>
      </c>
      <c r="I98" s="379">
        <v>52</v>
      </c>
      <c r="J98" s="396">
        <v>6.7391999999999994</v>
      </c>
      <c r="K98" s="381">
        <v>74.131199999999993</v>
      </c>
      <c r="L98" s="361"/>
      <c r="M98" s="356">
        <f t="shared" si="13"/>
        <v>802.35359999999991</v>
      </c>
      <c r="N98" s="346">
        <f t="shared" si="15"/>
        <v>6191</v>
      </c>
      <c r="O98" s="357">
        <f t="shared" si="12"/>
        <v>557.19000000000005</v>
      </c>
    </row>
    <row r="99" spans="1:15" ht="15" customHeight="1" x14ac:dyDescent="0.2">
      <c r="A99" s="1312"/>
      <c r="B99" s="435" t="s">
        <v>334</v>
      </c>
      <c r="C99" s="395">
        <v>1200</v>
      </c>
      <c r="D99" s="359">
        <v>600</v>
      </c>
      <c r="E99" s="394">
        <v>100</v>
      </c>
      <c r="F99" s="395" t="s">
        <v>46</v>
      </c>
      <c r="G99" s="379">
        <v>2</v>
      </c>
      <c r="H99" s="361">
        <v>0.14399999999999999</v>
      </c>
      <c r="I99" s="379">
        <v>48</v>
      </c>
      <c r="J99" s="396">
        <v>6.9119999999999999</v>
      </c>
      <c r="K99" s="381">
        <v>76.031999999999996</v>
      </c>
      <c r="L99" s="361"/>
      <c r="M99" s="356">
        <f t="shared" si="13"/>
        <v>891.50399999999991</v>
      </c>
      <c r="N99" s="346">
        <f t="shared" si="15"/>
        <v>6191</v>
      </c>
      <c r="O99" s="357">
        <f t="shared" si="12"/>
        <v>619.1</v>
      </c>
    </row>
    <row r="100" spans="1:15" ht="15" customHeight="1" x14ac:dyDescent="0.2">
      <c r="A100" s="1312"/>
      <c r="B100" s="437"/>
      <c r="C100" s="395">
        <v>1200</v>
      </c>
      <c r="D100" s="359">
        <v>600</v>
      </c>
      <c r="E100" s="394">
        <v>110</v>
      </c>
      <c r="F100" s="395" t="s">
        <v>46</v>
      </c>
      <c r="G100" s="379">
        <v>2</v>
      </c>
      <c r="H100" s="361">
        <v>0.15840000000000001</v>
      </c>
      <c r="I100" s="379">
        <v>40</v>
      </c>
      <c r="J100" s="396">
        <v>6.3360000000000003</v>
      </c>
      <c r="K100" s="381">
        <v>69.695999999999998</v>
      </c>
      <c r="L100" s="361"/>
      <c r="M100" s="356">
        <f t="shared" si="13"/>
        <v>980.65440000000012</v>
      </c>
      <c r="N100" s="346">
        <f t="shared" si="15"/>
        <v>6191</v>
      </c>
      <c r="O100" s="357">
        <f t="shared" si="12"/>
        <v>681.01</v>
      </c>
    </row>
    <row r="101" spans="1:15" ht="15" customHeight="1" x14ac:dyDescent="0.2">
      <c r="A101" s="1312"/>
      <c r="B101" s="437"/>
      <c r="C101" s="395">
        <v>1200</v>
      </c>
      <c r="D101" s="359">
        <v>600</v>
      </c>
      <c r="E101" s="394">
        <v>120</v>
      </c>
      <c r="F101" s="395" t="s">
        <v>46</v>
      </c>
      <c r="G101" s="379">
        <v>2</v>
      </c>
      <c r="H101" s="361">
        <v>0.17280000000000001</v>
      </c>
      <c r="I101" s="379">
        <v>40</v>
      </c>
      <c r="J101" s="396">
        <v>6.9120000000000008</v>
      </c>
      <c r="K101" s="381">
        <v>76.032000000000011</v>
      </c>
      <c r="L101" s="361"/>
      <c r="M101" s="356">
        <f t="shared" si="13"/>
        <v>1069.8048000000001</v>
      </c>
      <c r="N101" s="346">
        <f t="shared" si="15"/>
        <v>6191</v>
      </c>
      <c r="O101" s="357">
        <f t="shared" si="12"/>
        <v>742.92</v>
      </c>
    </row>
    <row r="102" spans="1:15" ht="15" customHeight="1" x14ac:dyDescent="0.2">
      <c r="A102" s="1312"/>
      <c r="B102" s="437"/>
      <c r="C102" s="395">
        <v>1200</v>
      </c>
      <c r="D102" s="359">
        <v>600</v>
      </c>
      <c r="E102" s="394">
        <v>130</v>
      </c>
      <c r="F102" s="395" t="s">
        <v>46</v>
      </c>
      <c r="G102" s="379">
        <v>2</v>
      </c>
      <c r="H102" s="361">
        <v>0.18720000000000001</v>
      </c>
      <c r="I102" s="379">
        <v>36</v>
      </c>
      <c r="J102" s="396">
        <v>6.7392000000000003</v>
      </c>
      <c r="K102" s="381">
        <v>74.131200000000007</v>
      </c>
      <c r="L102" s="361"/>
      <c r="M102" s="356">
        <f t="shared" si="13"/>
        <v>1158.9552000000001</v>
      </c>
      <c r="N102" s="346">
        <f t="shared" si="15"/>
        <v>6191</v>
      </c>
      <c r="O102" s="357">
        <f t="shared" si="12"/>
        <v>804.83</v>
      </c>
    </row>
    <row r="103" spans="1:15" ht="15" customHeight="1" x14ac:dyDescent="0.2">
      <c r="A103" s="1312"/>
      <c r="B103" s="437"/>
      <c r="C103" s="395">
        <v>1200</v>
      </c>
      <c r="D103" s="359">
        <v>600</v>
      </c>
      <c r="E103" s="394">
        <v>140</v>
      </c>
      <c r="F103" s="395" t="s">
        <v>46</v>
      </c>
      <c r="G103" s="379">
        <v>2</v>
      </c>
      <c r="H103" s="361">
        <v>0.2016</v>
      </c>
      <c r="I103" s="379">
        <v>32</v>
      </c>
      <c r="J103" s="396">
        <v>6.4512</v>
      </c>
      <c r="K103" s="381">
        <v>70.963200000000001</v>
      </c>
      <c r="L103" s="361"/>
      <c r="M103" s="356">
        <f t="shared" si="13"/>
        <v>1248.1056000000001</v>
      </c>
      <c r="N103" s="346">
        <f t="shared" si="15"/>
        <v>6191</v>
      </c>
      <c r="O103" s="357">
        <f t="shared" si="12"/>
        <v>866.74</v>
      </c>
    </row>
    <row r="104" spans="1:15" ht="15" customHeight="1" x14ac:dyDescent="0.2">
      <c r="A104" s="1312"/>
      <c r="B104" s="437"/>
      <c r="C104" s="395">
        <v>1200</v>
      </c>
      <c r="D104" s="359">
        <v>600</v>
      </c>
      <c r="E104" s="394">
        <v>150</v>
      </c>
      <c r="F104" s="395" t="s">
        <v>46</v>
      </c>
      <c r="G104" s="379">
        <v>2</v>
      </c>
      <c r="H104" s="361">
        <v>0.216</v>
      </c>
      <c r="I104" s="379">
        <v>32</v>
      </c>
      <c r="J104" s="396">
        <v>6.9119999999999999</v>
      </c>
      <c r="K104" s="381">
        <v>76.031999999999996</v>
      </c>
      <c r="L104" s="361"/>
      <c r="M104" s="356">
        <f t="shared" si="13"/>
        <v>1337.2560000000001</v>
      </c>
      <c r="N104" s="346">
        <f t="shared" si="15"/>
        <v>6191</v>
      </c>
      <c r="O104" s="357">
        <f t="shared" si="12"/>
        <v>928.65</v>
      </c>
    </row>
    <row r="105" spans="1:15" ht="15" customHeight="1" x14ac:dyDescent="0.2">
      <c r="A105" s="1312"/>
      <c r="B105" s="437"/>
      <c r="C105" s="395">
        <v>1200</v>
      </c>
      <c r="D105" s="359">
        <v>600</v>
      </c>
      <c r="E105" s="394">
        <v>160</v>
      </c>
      <c r="F105" s="395" t="s">
        <v>46</v>
      </c>
      <c r="G105" s="379">
        <v>2</v>
      </c>
      <c r="H105" s="361">
        <v>0.23039999999999999</v>
      </c>
      <c r="I105" s="379">
        <v>28</v>
      </c>
      <c r="J105" s="396">
        <v>6.4512</v>
      </c>
      <c r="K105" s="381">
        <v>70.963200000000001</v>
      </c>
      <c r="L105" s="361"/>
      <c r="M105" s="356">
        <f t="shared" si="13"/>
        <v>1426.4063999999998</v>
      </c>
      <c r="N105" s="346">
        <f t="shared" si="15"/>
        <v>6191</v>
      </c>
      <c r="O105" s="357">
        <f t="shared" si="12"/>
        <v>990.56</v>
      </c>
    </row>
    <row r="106" spans="1:15" ht="15" customHeight="1" x14ac:dyDescent="0.2">
      <c r="A106" s="1312"/>
      <c r="B106" s="437"/>
      <c r="C106" s="395">
        <v>1200</v>
      </c>
      <c r="D106" s="359">
        <v>600</v>
      </c>
      <c r="E106" s="394">
        <v>170</v>
      </c>
      <c r="F106" s="395" t="s">
        <v>46</v>
      </c>
      <c r="G106" s="379">
        <v>2</v>
      </c>
      <c r="H106" s="361">
        <v>0.24479999999999999</v>
      </c>
      <c r="I106" s="379">
        <v>28</v>
      </c>
      <c r="J106" s="396">
        <v>6.8544</v>
      </c>
      <c r="K106" s="381">
        <v>75.398399999999995</v>
      </c>
      <c r="L106" s="361"/>
      <c r="M106" s="356">
        <f t="shared" si="13"/>
        <v>1515.5567999999998</v>
      </c>
      <c r="N106" s="346">
        <f t="shared" si="15"/>
        <v>6191</v>
      </c>
      <c r="O106" s="357">
        <f>N106*E106/1000</f>
        <v>1052.47</v>
      </c>
    </row>
    <row r="107" spans="1:15" ht="15" customHeight="1" x14ac:dyDescent="0.2">
      <c r="A107" s="1312"/>
      <c r="B107" s="437"/>
      <c r="C107" s="395">
        <v>1200</v>
      </c>
      <c r="D107" s="359">
        <v>600</v>
      </c>
      <c r="E107" s="394">
        <v>180</v>
      </c>
      <c r="F107" s="395" t="s">
        <v>46</v>
      </c>
      <c r="G107" s="379">
        <v>2</v>
      </c>
      <c r="H107" s="361">
        <v>0.25919999999999999</v>
      </c>
      <c r="I107" s="379">
        <v>26</v>
      </c>
      <c r="J107" s="396">
        <v>6.7391999999999994</v>
      </c>
      <c r="K107" s="381">
        <v>74.131199999999993</v>
      </c>
      <c r="L107" s="361"/>
      <c r="M107" s="356">
        <f t="shared" si="13"/>
        <v>1604.7071999999998</v>
      </c>
      <c r="N107" s="346">
        <f t="shared" si="15"/>
        <v>6191</v>
      </c>
      <c r="O107" s="357">
        <f>N107*E107/1000</f>
        <v>1114.3800000000001</v>
      </c>
    </row>
    <row r="108" spans="1:15" ht="15" customHeight="1" x14ac:dyDescent="0.2">
      <c r="A108" s="1312"/>
      <c r="B108" s="437"/>
      <c r="C108" s="395">
        <v>1200</v>
      </c>
      <c r="D108" s="359">
        <v>600</v>
      </c>
      <c r="E108" s="394">
        <v>190</v>
      </c>
      <c r="F108" s="395" t="s">
        <v>46</v>
      </c>
      <c r="G108" s="379">
        <v>2</v>
      </c>
      <c r="H108" s="361">
        <v>0.27360000000000001</v>
      </c>
      <c r="I108" s="379">
        <v>24</v>
      </c>
      <c r="J108" s="396">
        <v>6.5663999999999998</v>
      </c>
      <c r="K108" s="381">
        <v>72.230400000000003</v>
      </c>
      <c r="L108" s="361"/>
      <c r="M108" s="356">
        <f t="shared" si="13"/>
        <v>1693.8576</v>
      </c>
      <c r="N108" s="346">
        <f t="shared" si="15"/>
        <v>6191</v>
      </c>
      <c r="O108" s="357">
        <f>N108*E108/1000</f>
        <v>1176.29</v>
      </c>
    </row>
    <row r="109" spans="1:15" ht="15" customHeight="1" thickBot="1" x14ac:dyDescent="0.25">
      <c r="A109" s="1313"/>
      <c r="B109" s="438"/>
      <c r="C109" s="422">
        <v>1200</v>
      </c>
      <c r="D109" s="367">
        <v>600</v>
      </c>
      <c r="E109" s="423">
        <v>200</v>
      </c>
      <c r="F109" s="422" t="s">
        <v>46</v>
      </c>
      <c r="G109" s="424">
        <v>2</v>
      </c>
      <c r="H109" s="370">
        <v>0.28799999999999998</v>
      </c>
      <c r="I109" s="424">
        <v>48</v>
      </c>
      <c r="J109" s="425">
        <v>13.823999999999998</v>
      </c>
      <c r="K109" s="373">
        <v>152.06399999999996</v>
      </c>
      <c r="L109" s="370"/>
      <c r="M109" s="426">
        <f t="shared" si="13"/>
        <v>1783.0079999999998</v>
      </c>
      <c r="N109" s="375">
        <f t="shared" si="15"/>
        <v>6191</v>
      </c>
      <c r="O109" s="515">
        <f>N109*E109/1000</f>
        <v>1238.2</v>
      </c>
    </row>
    <row r="110" spans="1:15" ht="15" customHeight="1" x14ac:dyDescent="0.2">
      <c r="A110" s="376" t="s">
        <v>335</v>
      </c>
      <c r="B110" s="439"/>
      <c r="C110" s="427"/>
      <c r="D110" s="340"/>
      <c r="E110" s="392"/>
      <c r="F110" s="427"/>
      <c r="G110" s="342"/>
      <c r="H110" s="343"/>
      <c r="I110" s="342"/>
      <c r="J110" s="344"/>
      <c r="K110" s="381"/>
      <c r="L110" s="343"/>
      <c r="M110" s="356"/>
      <c r="N110" s="459"/>
      <c r="O110" s="357"/>
    </row>
    <row r="111" spans="1:15" ht="15" customHeight="1" x14ac:dyDescent="0.2">
      <c r="A111" s="393" t="s">
        <v>336</v>
      </c>
      <c r="B111" s="348" t="s">
        <v>337</v>
      </c>
      <c r="C111" s="395">
        <v>1200</v>
      </c>
      <c r="D111" s="359">
        <v>600</v>
      </c>
      <c r="E111" s="394">
        <v>40</v>
      </c>
      <c r="F111" s="416" t="s">
        <v>297</v>
      </c>
      <c r="G111" s="379">
        <v>5</v>
      </c>
      <c r="H111" s="361">
        <v>0.14399999999999999</v>
      </c>
      <c r="I111" s="379">
        <v>44</v>
      </c>
      <c r="J111" s="396">
        <v>6.3359999999999994</v>
      </c>
      <c r="K111" s="381">
        <v>69.695999999999998</v>
      </c>
      <c r="L111" s="361"/>
      <c r="M111" s="356">
        <f t="shared" si="13"/>
        <v>1137.5999999999999</v>
      </c>
      <c r="N111" s="346">
        <v>7900</v>
      </c>
      <c r="O111" s="357">
        <f>N111*E111/1000</f>
        <v>316</v>
      </c>
    </row>
    <row r="112" spans="1:15" ht="15" customHeight="1" thickBot="1" x14ac:dyDescent="0.25">
      <c r="A112" s="769" t="s">
        <v>29</v>
      </c>
      <c r="B112" s="440" t="s">
        <v>338</v>
      </c>
      <c r="C112" s="422">
        <v>1200</v>
      </c>
      <c r="D112" s="367">
        <v>600</v>
      </c>
      <c r="E112" s="423">
        <v>50</v>
      </c>
      <c r="F112" s="422" t="s">
        <v>339</v>
      </c>
      <c r="G112" s="424">
        <v>4</v>
      </c>
      <c r="H112" s="370">
        <v>0.14399999999999999</v>
      </c>
      <c r="I112" s="424">
        <v>44</v>
      </c>
      <c r="J112" s="425">
        <v>6.3359999999999994</v>
      </c>
      <c r="K112" s="373">
        <v>69.695999999999998</v>
      </c>
      <c r="L112" s="370"/>
      <c r="M112" s="356">
        <f t="shared" si="13"/>
        <v>1137.5999999999999</v>
      </c>
      <c r="N112" s="375">
        <f>N111</f>
        <v>7900</v>
      </c>
      <c r="O112" s="357">
        <f>N112*E112/1000</f>
        <v>395</v>
      </c>
    </row>
  </sheetData>
  <mergeCells count="18">
    <mergeCell ref="A64:A77"/>
    <mergeCell ref="A80:A93"/>
    <mergeCell ref="A96:A109"/>
    <mergeCell ref="K3:L3"/>
    <mergeCell ref="M3:O3"/>
    <mergeCell ref="A14:A27"/>
    <mergeCell ref="A31:A45"/>
    <mergeCell ref="A48:A61"/>
    <mergeCell ref="I2:M2"/>
    <mergeCell ref="N2:O2"/>
    <mergeCell ref="A3:A4"/>
    <mergeCell ref="B3:B4"/>
    <mergeCell ref="C3:C4"/>
    <mergeCell ref="D3:D4"/>
    <mergeCell ref="E3:E4"/>
    <mergeCell ref="F3:F4"/>
    <mergeCell ref="G3:H3"/>
    <mergeCell ref="I3:J3"/>
  </mergeCells>
  <pageMargins left="0.7" right="0.7" top="0.75" bottom="0.75" header="0.3" footer="0.3"/>
  <pageSetup paperSize="9" scale="82"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9"/>
  <sheetViews>
    <sheetView showGridLines="0" view="pageBreakPreview" zoomScale="74" zoomScaleNormal="100" zoomScaleSheetLayoutView="74" workbookViewId="0">
      <pane xSplit="1" ySplit="7" topLeftCell="B29" activePane="bottomRight" state="frozen"/>
      <selection sqref="A1:IV65536"/>
      <selection pane="topRight" sqref="A1:IV65536"/>
      <selection pane="bottomLeft" sqref="A1:IV65536"/>
      <selection pane="bottomRight" activeCell="I39" sqref="I39"/>
    </sheetView>
  </sheetViews>
  <sheetFormatPr defaultColWidth="11.42578125" defaultRowHeight="18" x14ac:dyDescent="0.25"/>
  <cols>
    <col min="1" max="1" width="38.7109375" style="3" customWidth="1"/>
    <col min="2" max="4" width="9.7109375" style="2" customWidth="1"/>
    <col min="5" max="6" width="11.140625" style="71" hidden="1" customWidth="1"/>
    <col min="7" max="7" width="18.140625" style="71" customWidth="1"/>
    <col min="8" max="8" width="6.140625" style="71" customWidth="1"/>
    <col min="9" max="9" width="12.28515625" style="71" customWidth="1"/>
    <col min="10" max="10" width="11.140625" style="71" hidden="1" customWidth="1"/>
    <col min="11" max="11" width="9.28515625" style="4" customWidth="1"/>
    <col min="12" max="12" width="11.5703125" style="2" customWidth="1"/>
    <col min="13" max="13" width="11.5703125" style="5" customWidth="1"/>
    <col min="14" max="14" width="11.5703125" style="4" customWidth="1"/>
    <col min="15" max="15" width="13.85546875" style="56" customWidth="1"/>
    <col min="16" max="16" width="11.5703125" style="2" customWidth="1"/>
    <col min="17" max="17" width="11.5703125" style="5" customWidth="1"/>
    <col min="18" max="18" width="15.140625" style="2" customWidth="1"/>
    <col min="19" max="19" width="11.85546875" style="2" customWidth="1"/>
    <col min="20" max="20" width="14" style="2" customWidth="1"/>
    <col min="21" max="256" width="11.42578125" style="2"/>
    <col min="257" max="257" width="38.7109375" style="2" customWidth="1"/>
    <col min="258" max="260" width="9.7109375" style="2" customWidth="1"/>
    <col min="261" max="262" width="0" style="2" hidden="1" customWidth="1"/>
    <col min="263" max="263" width="18.140625" style="2" customWidth="1"/>
    <col min="264" max="264" width="6.140625" style="2" customWidth="1"/>
    <col min="265" max="265" width="12.28515625" style="2" customWidth="1"/>
    <col min="266" max="266" width="0" style="2" hidden="1" customWidth="1"/>
    <col min="267" max="267" width="9.28515625" style="2" customWidth="1"/>
    <col min="268" max="270" width="11.5703125" style="2" customWidth="1"/>
    <col min="271" max="271" width="13.85546875" style="2" customWidth="1"/>
    <col min="272" max="273" width="11.5703125" style="2" customWidth="1"/>
    <col min="274" max="274" width="15.140625" style="2" customWidth="1"/>
    <col min="275" max="275" width="11.85546875" style="2" customWidth="1"/>
    <col min="276" max="276" width="14" style="2" customWidth="1"/>
    <col min="277" max="512" width="11.42578125" style="2"/>
    <col min="513" max="513" width="38.7109375" style="2" customWidth="1"/>
    <col min="514" max="516" width="9.7109375" style="2" customWidth="1"/>
    <col min="517" max="518" width="0" style="2" hidden="1" customWidth="1"/>
    <col min="519" max="519" width="18.140625" style="2" customWidth="1"/>
    <col min="520" max="520" width="6.140625" style="2" customWidth="1"/>
    <col min="521" max="521" width="12.28515625" style="2" customWidth="1"/>
    <col min="522" max="522" width="0" style="2" hidden="1" customWidth="1"/>
    <col min="523" max="523" width="9.28515625" style="2" customWidth="1"/>
    <col min="524" max="526" width="11.5703125" style="2" customWidth="1"/>
    <col min="527" max="527" width="13.85546875" style="2" customWidth="1"/>
    <col min="528" max="529" width="11.5703125" style="2" customWidth="1"/>
    <col min="530" max="530" width="15.140625" style="2" customWidth="1"/>
    <col min="531" max="531" width="11.85546875" style="2" customWidth="1"/>
    <col min="532" max="532" width="14" style="2" customWidth="1"/>
    <col min="533" max="768" width="11.42578125" style="2"/>
    <col min="769" max="769" width="38.7109375" style="2" customWidth="1"/>
    <col min="770" max="772" width="9.7109375" style="2" customWidth="1"/>
    <col min="773" max="774" width="0" style="2" hidden="1" customWidth="1"/>
    <col min="775" max="775" width="18.140625" style="2" customWidth="1"/>
    <col min="776" max="776" width="6.140625" style="2" customWidth="1"/>
    <col min="777" max="777" width="12.28515625" style="2" customWidth="1"/>
    <col min="778" max="778" width="0" style="2" hidden="1" customWidth="1"/>
    <col min="779" max="779" width="9.28515625" style="2" customWidth="1"/>
    <col min="780" max="782" width="11.5703125" style="2" customWidth="1"/>
    <col min="783" max="783" width="13.85546875" style="2" customWidth="1"/>
    <col min="784" max="785" width="11.5703125" style="2" customWidth="1"/>
    <col min="786" max="786" width="15.140625" style="2" customWidth="1"/>
    <col min="787" max="787" width="11.85546875" style="2" customWidth="1"/>
    <col min="788" max="788" width="14" style="2" customWidth="1"/>
    <col min="789" max="1024" width="11.42578125" style="2"/>
    <col min="1025" max="1025" width="38.7109375" style="2" customWidth="1"/>
    <col min="1026" max="1028" width="9.7109375" style="2" customWidth="1"/>
    <col min="1029" max="1030" width="0" style="2" hidden="1" customWidth="1"/>
    <col min="1031" max="1031" width="18.140625" style="2" customWidth="1"/>
    <col min="1032" max="1032" width="6.140625" style="2" customWidth="1"/>
    <col min="1033" max="1033" width="12.28515625" style="2" customWidth="1"/>
    <col min="1034" max="1034" width="0" style="2" hidden="1" customWidth="1"/>
    <col min="1035" max="1035" width="9.28515625" style="2" customWidth="1"/>
    <col min="1036" max="1038" width="11.5703125" style="2" customWidth="1"/>
    <col min="1039" max="1039" width="13.85546875" style="2" customWidth="1"/>
    <col min="1040" max="1041" width="11.5703125" style="2" customWidth="1"/>
    <col min="1042" max="1042" width="15.140625" style="2" customWidth="1"/>
    <col min="1043" max="1043" width="11.85546875" style="2" customWidth="1"/>
    <col min="1044" max="1044" width="14" style="2" customWidth="1"/>
    <col min="1045" max="1280" width="11.42578125" style="2"/>
    <col min="1281" max="1281" width="38.7109375" style="2" customWidth="1"/>
    <col min="1282" max="1284" width="9.7109375" style="2" customWidth="1"/>
    <col min="1285" max="1286" width="0" style="2" hidden="1" customWidth="1"/>
    <col min="1287" max="1287" width="18.140625" style="2" customWidth="1"/>
    <col min="1288" max="1288" width="6.140625" style="2" customWidth="1"/>
    <col min="1289" max="1289" width="12.28515625" style="2" customWidth="1"/>
    <col min="1290" max="1290" width="0" style="2" hidden="1" customWidth="1"/>
    <col min="1291" max="1291" width="9.28515625" style="2" customWidth="1"/>
    <col min="1292" max="1294" width="11.5703125" style="2" customWidth="1"/>
    <col min="1295" max="1295" width="13.85546875" style="2" customWidth="1"/>
    <col min="1296" max="1297" width="11.5703125" style="2" customWidth="1"/>
    <col min="1298" max="1298" width="15.140625" style="2" customWidth="1"/>
    <col min="1299" max="1299" width="11.85546875" style="2" customWidth="1"/>
    <col min="1300" max="1300" width="14" style="2" customWidth="1"/>
    <col min="1301" max="1536" width="11.42578125" style="2"/>
    <col min="1537" max="1537" width="38.7109375" style="2" customWidth="1"/>
    <col min="1538" max="1540" width="9.7109375" style="2" customWidth="1"/>
    <col min="1541" max="1542" width="0" style="2" hidden="1" customWidth="1"/>
    <col min="1543" max="1543" width="18.140625" style="2" customWidth="1"/>
    <col min="1544" max="1544" width="6.140625" style="2" customWidth="1"/>
    <col min="1545" max="1545" width="12.28515625" style="2" customWidth="1"/>
    <col min="1546" max="1546" width="0" style="2" hidden="1" customWidth="1"/>
    <col min="1547" max="1547" width="9.28515625" style="2" customWidth="1"/>
    <col min="1548" max="1550" width="11.5703125" style="2" customWidth="1"/>
    <col min="1551" max="1551" width="13.85546875" style="2" customWidth="1"/>
    <col min="1552" max="1553" width="11.5703125" style="2" customWidth="1"/>
    <col min="1554" max="1554" width="15.140625" style="2" customWidth="1"/>
    <col min="1555" max="1555" width="11.85546875" style="2" customWidth="1"/>
    <col min="1556" max="1556" width="14" style="2" customWidth="1"/>
    <col min="1557" max="1792" width="11.42578125" style="2"/>
    <col min="1793" max="1793" width="38.7109375" style="2" customWidth="1"/>
    <col min="1794" max="1796" width="9.7109375" style="2" customWidth="1"/>
    <col min="1797" max="1798" width="0" style="2" hidden="1" customWidth="1"/>
    <col min="1799" max="1799" width="18.140625" style="2" customWidth="1"/>
    <col min="1800" max="1800" width="6.140625" style="2" customWidth="1"/>
    <col min="1801" max="1801" width="12.28515625" style="2" customWidth="1"/>
    <col min="1802" max="1802" width="0" style="2" hidden="1" customWidth="1"/>
    <col min="1803" max="1803" width="9.28515625" style="2" customWidth="1"/>
    <col min="1804" max="1806" width="11.5703125" style="2" customWidth="1"/>
    <col min="1807" max="1807" width="13.85546875" style="2" customWidth="1"/>
    <col min="1808" max="1809" width="11.5703125" style="2" customWidth="1"/>
    <col min="1810" max="1810" width="15.140625" style="2" customWidth="1"/>
    <col min="1811" max="1811" width="11.85546875" style="2" customWidth="1"/>
    <col min="1812" max="1812" width="14" style="2" customWidth="1"/>
    <col min="1813" max="2048" width="11.42578125" style="2"/>
    <col min="2049" max="2049" width="38.7109375" style="2" customWidth="1"/>
    <col min="2050" max="2052" width="9.7109375" style="2" customWidth="1"/>
    <col min="2053" max="2054" width="0" style="2" hidden="1" customWidth="1"/>
    <col min="2055" max="2055" width="18.140625" style="2" customWidth="1"/>
    <col min="2056" max="2056" width="6.140625" style="2" customWidth="1"/>
    <col min="2057" max="2057" width="12.28515625" style="2" customWidth="1"/>
    <col min="2058" max="2058" width="0" style="2" hidden="1" customWidth="1"/>
    <col min="2059" max="2059" width="9.28515625" style="2" customWidth="1"/>
    <col min="2060" max="2062" width="11.5703125" style="2" customWidth="1"/>
    <col min="2063" max="2063" width="13.85546875" style="2" customWidth="1"/>
    <col min="2064" max="2065" width="11.5703125" style="2" customWidth="1"/>
    <col min="2066" max="2066" width="15.140625" style="2" customWidth="1"/>
    <col min="2067" max="2067" width="11.85546875" style="2" customWidth="1"/>
    <col min="2068" max="2068" width="14" style="2" customWidth="1"/>
    <col min="2069" max="2304" width="11.42578125" style="2"/>
    <col min="2305" max="2305" width="38.7109375" style="2" customWidth="1"/>
    <col min="2306" max="2308" width="9.7109375" style="2" customWidth="1"/>
    <col min="2309" max="2310" width="0" style="2" hidden="1" customWidth="1"/>
    <col min="2311" max="2311" width="18.140625" style="2" customWidth="1"/>
    <col min="2312" max="2312" width="6.140625" style="2" customWidth="1"/>
    <col min="2313" max="2313" width="12.28515625" style="2" customWidth="1"/>
    <col min="2314" max="2314" width="0" style="2" hidden="1" customWidth="1"/>
    <col min="2315" max="2315" width="9.28515625" style="2" customWidth="1"/>
    <col min="2316" max="2318" width="11.5703125" style="2" customWidth="1"/>
    <col min="2319" max="2319" width="13.85546875" style="2" customWidth="1"/>
    <col min="2320" max="2321" width="11.5703125" style="2" customWidth="1"/>
    <col min="2322" max="2322" width="15.140625" style="2" customWidth="1"/>
    <col min="2323" max="2323" width="11.85546875" style="2" customWidth="1"/>
    <col min="2324" max="2324" width="14" style="2" customWidth="1"/>
    <col min="2325" max="2560" width="11.42578125" style="2"/>
    <col min="2561" max="2561" width="38.7109375" style="2" customWidth="1"/>
    <col min="2562" max="2564" width="9.7109375" style="2" customWidth="1"/>
    <col min="2565" max="2566" width="0" style="2" hidden="1" customWidth="1"/>
    <col min="2567" max="2567" width="18.140625" style="2" customWidth="1"/>
    <col min="2568" max="2568" width="6.140625" style="2" customWidth="1"/>
    <col min="2569" max="2569" width="12.28515625" style="2" customWidth="1"/>
    <col min="2570" max="2570" width="0" style="2" hidden="1" customWidth="1"/>
    <col min="2571" max="2571" width="9.28515625" style="2" customWidth="1"/>
    <col min="2572" max="2574" width="11.5703125" style="2" customWidth="1"/>
    <col min="2575" max="2575" width="13.85546875" style="2" customWidth="1"/>
    <col min="2576" max="2577" width="11.5703125" style="2" customWidth="1"/>
    <col min="2578" max="2578" width="15.140625" style="2" customWidth="1"/>
    <col min="2579" max="2579" width="11.85546875" style="2" customWidth="1"/>
    <col min="2580" max="2580" width="14" style="2" customWidth="1"/>
    <col min="2581" max="2816" width="11.42578125" style="2"/>
    <col min="2817" max="2817" width="38.7109375" style="2" customWidth="1"/>
    <col min="2818" max="2820" width="9.7109375" style="2" customWidth="1"/>
    <col min="2821" max="2822" width="0" style="2" hidden="1" customWidth="1"/>
    <col min="2823" max="2823" width="18.140625" style="2" customWidth="1"/>
    <col min="2824" max="2824" width="6.140625" style="2" customWidth="1"/>
    <col min="2825" max="2825" width="12.28515625" style="2" customWidth="1"/>
    <col min="2826" max="2826" width="0" style="2" hidden="1" customWidth="1"/>
    <col min="2827" max="2827" width="9.28515625" style="2" customWidth="1"/>
    <col min="2828" max="2830" width="11.5703125" style="2" customWidth="1"/>
    <col min="2831" max="2831" width="13.85546875" style="2" customWidth="1"/>
    <col min="2832" max="2833" width="11.5703125" style="2" customWidth="1"/>
    <col min="2834" max="2834" width="15.140625" style="2" customWidth="1"/>
    <col min="2835" max="2835" width="11.85546875" style="2" customWidth="1"/>
    <col min="2836" max="2836" width="14" style="2" customWidth="1"/>
    <col min="2837" max="3072" width="11.42578125" style="2"/>
    <col min="3073" max="3073" width="38.7109375" style="2" customWidth="1"/>
    <col min="3074" max="3076" width="9.7109375" style="2" customWidth="1"/>
    <col min="3077" max="3078" width="0" style="2" hidden="1" customWidth="1"/>
    <col min="3079" max="3079" width="18.140625" style="2" customWidth="1"/>
    <col min="3080" max="3080" width="6.140625" style="2" customWidth="1"/>
    <col min="3081" max="3081" width="12.28515625" style="2" customWidth="1"/>
    <col min="3082" max="3082" width="0" style="2" hidden="1" customWidth="1"/>
    <col min="3083" max="3083" width="9.28515625" style="2" customWidth="1"/>
    <col min="3084" max="3086" width="11.5703125" style="2" customWidth="1"/>
    <col min="3087" max="3087" width="13.85546875" style="2" customWidth="1"/>
    <col min="3088" max="3089" width="11.5703125" style="2" customWidth="1"/>
    <col min="3090" max="3090" width="15.140625" style="2" customWidth="1"/>
    <col min="3091" max="3091" width="11.85546875" style="2" customWidth="1"/>
    <col min="3092" max="3092" width="14" style="2" customWidth="1"/>
    <col min="3093" max="3328" width="11.42578125" style="2"/>
    <col min="3329" max="3329" width="38.7109375" style="2" customWidth="1"/>
    <col min="3330" max="3332" width="9.7109375" style="2" customWidth="1"/>
    <col min="3333" max="3334" width="0" style="2" hidden="1" customWidth="1"/>
    <col min="3335" max="3335" width="18.140625" style="2" customWidth="1"/>
    <col min="3336" max="3336" width="6.140625" style="2" customWidth="1"/>
    <col min="3337" max="3337" width="12.28515625" style="2" customWidth="1"/>
    <col min="3338" max="3338" width="0" style="2" hidden="1" customWidth="1"/>
    <col min="3339" max="3339" width="9.28515625" style="2" customWidth="1"/>
    <col min="3340" max="3342" width="11.5703125" style="2" customWidth="1"/>
    <col min="3343" max="3343" width="13.85546875" style="2" customWidth="1"/>
    <col min="3344" max="3345" width="11.5703125" style="2" customWidth="1"/>
    <col min="3346" max="3346" width="15.140625" style="2" customWidth="1"/>
    <col min="3347" max="3347" width="11.85546875" style="2" customWidth="1"/>
    <col min="3348" max="3348" width="14" style="2" customWidth="1"/>
    <col min="3349" max="3584" width="11.42578125" style="2"/>
    <col min="3585" max="3585" width="38.7109375" style="2" customWidth="1"/>
    <col min="3586" max="3588" width="9.7109375" style="2" customWidth="1"/>
    <col min="3589" max="3590" width="0" style="2" hidden="1" customWidth="1"/>
    <col min="3591" max="3591" width="18.140625" style="2" customWidth="1"/>
    <col min="3592" max="3592" width="6.140625" style="2" customWidth="1"/>
    <col min="3593" max="3593" width="12.28515625" style="2" customWidth="1"/>
    <col min="3594" max="3594" width="0" style="2" hidden="1" customWidth="1"/>
    <col min="3595" max="3595" width="9.28515625" style="2" customWidth="1"/>
    <col min="3596" max="3598" width="11.5703125" style="2" customWidth="1"/>
    <col min="3599" max="3599" width="13.85546875" style="2" customWidth="1"/>
    <col min="3600" max="3601" width="11.5703125" style="2" customWidth="1"/>
    <col min="3602" max="3602" width="15.140625" style="2" customWidth="1"/>
    <col min="3603" max="3603" width="11.85546875" style="2" customWidth="1"/>
    <col min="3604" max="3604" width="14" style="2" customWidth="1"/>
    <col min="3605" max="3840" width="11.42578125" style="2"/>
    <col min="3841" max="3841" width="38.7109375" style="2" customWidth="1"/>
    <col min="3842" max="3844" width="9.7109375" style="2" customWidth="1"/>
    <col min="3845" max="3846" width="0" style="2" hidden="1" customWidth="1"/>
    <col min="3847" max="3847" width="18.140625" style="2" customWidth="1"/>
    <col min="3848" max="3848" width="6.140625" style="2" customWidth="1"/>
    <col min="3849" max="3849" width="12.28515625" style="2" customWidth="1"/>
    <col min="3850" max="3850" width="0" style="2" hidden="1" customWidth="1"/>
    <col min="3851" max="3851" width="9.28515625" style="2" customWidth="1"/>
    <col min="3852" max="3854" width="11.5703125" style="2" customWidth="1"/>
    <col min="3855" max="3855" width="13.85546875" style="2" customWidth="1"/>
    <col min="3856" max="3857" width="11.5703125" style="2" customWidth="1"/>
    <col min="3858" max="3858" width="15.140625" style="2" customWidth="1"/>
    <col min="3859" max="3859" width="11.85546875" style="2" customWidth="1"/>
    <col min="3860" max="3860" width="14" style="2" customWidth="1"/>
    <col min="3861" max="4096" width="11.42578125" style="2"/>
    <col min="4097" max="4097" width="38.7109375" style="2" customWidth="1"/>
    <col min="4098" max="4100" width="9.7109375" style="2" customWidth="1"/>
    <col min="4101" max="4102" width="0" style="2" hidden="1" customWidth="1"/>
    <col min="4103" max="4103" width="18.140625" style="2" customWidth="1"/>
    <col min="4104" max="4104" width="6.140625" style="2" customWidth="1"/>
    <col min="4105" max="4105" width="12.28515625" style="2" customWidth="1"/>
    <col min="4106" max="4106" width="0" style="2" hidden="1" customWidth="1"/>
    <col min="4107" max="4107" width="9.28515625" style="2" customWidth="1"/>
    <col min="4108" max="4110" width="11.5703125" style="2" customWidth="1"/>
    <col min="4111" max="4111" width="13.85546875" style="2" customWidth="1"/>
    <col min="4112" max="4113" width="11.5703125" style="2" customWidth="1"/>
    <col min="4114" max="4114" width="15.140625" style="2" customWidth="1"/>
    <col min="4115" max="4115" width="11.85546875" style="2" customWidth="1"/>
    <col min="4116" max="4116" width="14" style="2" customWidth="1"/>
    <col min="4117" max="4352" width="11.42578125" style="2"/>
    <col min="4353" max="4353" width="38.7109375" style="2" customWidth="1"/>
    <col min="4354" max="4356" width="9.7109375" style="2" customWidth="1"/>
    <col min="4357" max="4358" width="0" style="2" hidden="1" customWidth="1"/>
    <col min="4359" max="4359" width="18.140625" style="2" customWidth="1"/>
    <col min="4360" max="4360" width="6.140625" style="2" customWidth="1"/>
    <col min="4361" max="4361" width="12.28515625" style="2" customWidth="1"/>
    <col min="4362" max="4362" width="0" style="2" hidden="1" customWidth="1"/>
    <col min="4363" max="4363" width="9.28515625" style="2" customWidth="1"/>
    <col min="4364" max="4366" width="11.5703125" style="2" customWidth="1"/>
    <col min="4367" max="4367" width="13.85546875" style="2" customWidth="1"/>
    <col min="4368" max="4369" width="11.5703125" style="2" customWidth="1"/>
    <col min="4370" max="4370" width="15.140625" style="2" customWidth="1"/>
    <col min="4371" max="4371" width="11.85546875" style="2" customWidth="1"/>
    <col min="4372" max="4372" width="14" style="2" customWidth="1"/>
    <col min="4373" max="4608" width="11.42578125" style="2"/>
    <col min="4609" max="4609" width="38.7109375" style="2" customWidth="1"/>
    <col min="4610" max="4612" width="9.7109375" style="2" customWidth="1"/>
    <col min="4613" max="4614" width="0" style="2" hidden="1" customWidth="1"/>
    <col min="4615" max="4615" width="18.140625" style="2" customWidth="1"/>
    <col min="4616" max="4616" width="6.140625" style="2" customWidth="1"/>
    <col min="4617" max="4617" width="12.28515625" style="2" customWidth="1"/>
    <col min="4618" max="4618" width="0" style="2" hidden="1" customWidth="1"/>
    <col min="4619" max="4619" width="9.28515625" style="2" customWidth="1"/>
    <col min="4620" max="4622" width="11.5703125" style="2" customWidth="1"/>
    <col min="4623" max="4623" width="13.85546875" style="2" customWidth="1"/>
    <col min="4624" max="4625" width="11.5703125" style="2" customWidth="1"/>
    <col min="4626" max="4626" width="15.140625" style="2" customWidth="1"/>
    <col min="4627" max="4627" width="11.85546875" style="2" customWidth="1"/>
    <col min="4628" max="4628" width="14" style="2" customWidth="1"/>
    <col min="4629" max="4864" width="11.42578125" style="2"/>
    <col min="4865" max="4865" width="38.7109375" style="2" customWidth="1"/>
    <col min="4866" max="4868" width="9.7109375" style="2" customWidth="1"/>
    <col min="4869" max="4870" width="0" style="2" hidden="1" customWidth="1"/>
    <col min="4871" max="4871" width="18.140625" style="2" customWidth="1"/>
    <col min="4872" max="4872" width="6.140625" style="2" customWidth="1"/>
    <col min="4873" max="4873" width="12.28515625" style="2" customWidth="1"/>
    <col min="4874" max="4874" width="0" style="2" hidden="1" customWidth="1"/>
    <col min="4875" max="4875" width="9.28515625" style="2" customWidth="1"/>
    <col min="4876" max="4878" width="11.5703125" style="2" customWidth="1"/>
    <col min="4879" max="4879" width="13.85546875" style="2" customWidth="1"/>
    <col min="4880" max="4881" width="11.5703125" style="2" customWidth="1"/>
    <col min="4882" max="4882" width="15.140625" style="2" customWidth="1"/>
    <col min="4883" max="4883" width="11.85546875" style="2" customWidth="1"/>
    <col min="4884" max="4884" width="14" style="2" customWidth="1"/>
    <col min="4885" max="5120" width="11.42578125" style="2"/>
    <col min="5121" max="5121" width="38.7109375" style="2" customWidth="1"/>
    <col min="5122" max="5124" width="9.7109375" style="2" customWidth="1"/>
    <col min="5125" max="5126" width="0" style="2" hidden="1" customWidth="1"/>
    <col min="5127" max="5127" width="18.140625" style="2" customWidth="1"/>
    <col min="5128" max="5128" width="6.140625" style="2" customWidth="1"/>
    <col min="5129" max="5129" width="12.28515625" style="2" customWidth="1"/>
    <col min="5130" max="5130" width="0" style="2" hidden="1" customWidth="1"/>
    <col min="5131" max="5131" width="9.28515625" style="2" customWidth="1"/>
    <col min="5132" max="5134" width="11.5703125" style="2" customWidth="1"/>
    <col min="5135" max="5135" width="13.85546875" style="2" customWidth="1"/>
    <col min="5136" max="5137" width="11.5703125" style="2" customWidth="1"/>
    <col min="5138" max="5138" width="15.140625" style="2" customWidth="1"/>
    <col min="5139" max="5139" width="11.85546875" style="2" customWidth="1"/>
    <col min="5140" max="5140" width="14" style="2" customWidth="1"/>
    <col min="5141" max="5376" width="11.42578125" style="2"/>
    <col min="5377" max="5377" width="38.7109375" style="2" customWidth="1"/>
    <col min="5378" max="5380" width="9.7109375" style="2" customWidth="1"/>
    <col min="5381" max="5382" width="0" style="2" hidden="1" customWidth="1"/>
    <col min="5383" max="5383" width="18.140625" style="2" customWidth="1"/>
    <col min="5384" max="5384" width="6.140625" style="2" customWidth="1"/>
    <col min="5385" max="5385" width="12.28515625" style="2" customWidth="1"/>
    <col min="5386" max="5386" width="0" style="2" hidden="1" customWidth="1"/>
    <col min="5387" max="5387" width="9.28515625" style="2" customWidth="1"/>
    <col min="5388" max="5390" width="11.5703125" style="2" customWidth="1"/>
    <col min="5391" max="5391" width="13.85546875" style="2" customWidth="1"/>
    <col min="5392" max="5393" width="11.5703125" style="2" customWidth="1"/>
    <col min="5394" max="5394" width="15.140625" style="2" customWidth="1"/>
    <col min="5395" max="5395" width="11.85546875" style="2" customWidth="1"/>
    <col min="5396" max="5396" width="14" style="2" customWidth="1"/>
    <col min="5397" max="5632" width="11.42578125" style="2"/>
    <col min="5633" max="5633" width="38.7109375" style="2" customWidth="1"/>
    <col min="5634" max="5636" width="9.7109375" style="2" customWidth="1"/>
    <col min="5637" max="5638" width="0" style="2" hidden="1" customWidth="1"/>
    <col min="5639" max="5639" width="18.140625" style="2" customWidth="1"/>
    <col min="5640" max="5640" width="6.140625" style="2" customWidth="1"/>
    <col min="5641" max="5641" width="12.28515625" style="2" customWidth="1"/>
    <col min="5642" max="5642" width="0" style="2" hidden="1" customWidth="1"/>
    <col min="5643" max="5643" width="9.28515625" style="2" customWidth="1"/>
    <col min="5644" max="5646" width="11.5703125" style="2" customWidth="1"/>
    <col min="5647" max="5647" width="13.85546875" style="2" customWidth="1"/>
    <col min="5648" max="5649" width="11.5703125" style="2" customWidth="1"/>
    <col min="5650" max="5650" width="15.140625" style="2" customWidth="1"/>
    <col min="5651" max="5651" width="11.85546875" style="2" customWidth="1"/>
    <col min="5652" max="5652" width="14" style="2" customWidth="1"/>
    <col min="5653" max="5888" width="11.42578125" style="2"/>
    <col min="5889" max="5889" width="38.7109375" style="2" customWidth="1"/>
    <col min="5890" max="5892" width="9.7109375" style="2" customWidth="1"/>
    <col min="5893" max="5894" width="0" style="2" hidden="1" customWidth="1"/>
    <col min="5895" max="5895" width="18.140625" style="2" customWidth="1"/>
    <col min="5896" max="5896" width="6.140625" style="2" customWidth="1"/>
    <col min="5897" max="5897" width="12.28515625" style="2" customWidth="1"/>
    <col min="5898" max="5898" width="0" style="2" hidden="1" customWidth="1"/>
    <col min="5899" max="5899" width="9.28515625" style="2" customWidth="1"/>
    <col min="5900" max="5902" width="11.5703125" style="2" customWidth="1"/>
    <col min="5903" max="5903" width="13.85546875" style="2" customWidth="1"/>
    <col min="5904" max="5905" width="11.5703125" style="2" customWidth="1"/>
    <col min="5906" max="5906" width="15.140625" style="2" customWidth="1"/>
    <col min="5907" max="5907" width="11.85546875" style="2" customWidth="1"/>
    <col min="5908" max="5908" width="14" style="2" customWidth="1"/>
    <col min="5909" max="6144" width="11.42578125" style="2"/>
    <col min="6145" max="6145" width="38.7109375" style="2" customWidth="1"/>
    <col min="6146" max="6148" width="9.7109375" style="2" customWidth="1"/>
    <col min="6149" max="6150" width="0" style="2" hidden="1" customWidth="1"/>
    <col min="6151" max="6151" width="18.140625" style="2" customWidth="1"/>
    <col min="6152" max="6152" width="6.140625" style="2" customWidth="1"/>
    <col min="6153" max="6153" width="12.28515625" style="2" customWidth="1"/>
    <col min="6154" max="6154" width="0" style="2" hidden="1" customWidth="1"/>
    <col min="6155" max="6155" width="9.28515625" style="2" customWidth="1"/>
    <col min="6156" max="6158" width="11.5703125" style="2" customWidth="1"/>
    <col min="6159" max="6159" width="13.85546875" style="2" customWidth="1"/>
    <col min="6160" max="6161" width="11.5703125" style="2" customWidth="1"/>
    <col min="6162" max="6162" width="15.140625" style="2" customWidth="1"/>
    <col min="6163" max="6163" width="11.85546875" style="2" customWidth="1"/>
    <col min="6164" max="6164" width="14" style="2" customWidth="1"/>
    <col min="6165" max="6400" width="11.42578125" style="2"/>
    <col min="6401" max="6401" width="38.7109375" style="2" customWidth="1"/>
    <col min="6402" max="6404" width="9.7109375" style="2" customWidth="1"/>
    <col min="6405" max="6406" width="0" style="2" hidden="1" customWidth="1"/>
    <col min="6407" max="6407" width="18.140625" style="2" customWidth="1"/>
    <col min="6408" max="6408" width="6.140625" style="2" customWidth="1"/>
    <col min="6409" max="6409" width="12.28515625" style="2" customWidth="1"/>
    <col min="6410" max="6410" width="0" style="2" hidden="1" customWidth="1"/>
    <col min="6411" max="6411" width="9.28515625" style="2" customWidth="1"/>
    <col min="6412" max="6414" width="11.5703125" style="2" customWidth="1"/>
    <col min="6415" max="6415" width="13.85546875" style="2" customWidth="1"/>
    <col min="6416" max="6417" width="11.5703125" style="2" customWidth="1"/>
    <col min="6418" max="6418" width="15.140625" style="2" customWidth="1"/>
    <col min="6419" max="6419" width="11.85546875" style="2" customWidth="1"/>
    <col min="6420" max="6420" width="14" style="2" customWidth="1"/>
    <col min="6421" max="6656" width="11.42578125" style="2"/>
    <col min="6657" max="6657" width="38.7109375" style="2" customWidth="1"/>
    <col min="6658" max="6660" width="9.7109375" style="2" customWidth="1"/>
    <col min="6661" max="6662" width="0" style="2" hidden="1" customWidth="1"/>
    <col min="6663" max="6663" width="18.140625" style="2" customWidth="1"/>
    <col min="6664" max="6664" width="6.140625" style="2" customWidth="1"/>
    <col min="6665" max="6665" width="12.28515625" style="2" customWidth="1"/>
    <col min="6666" max="6666" width="0" style="2" hidden="1" customWidth="1"/>
    <col min="6667" max="6667" width="9.28515625" style="2" customWidth="1"/>
    <col min="6668" max="6670" width="11.5703125" style="2" customWidth="1"/>
    <col min="6671" max="6671" width="13.85546875" style="2" customWidth="1"/>
    <col min="6672" max="6673" width="11.5703125" style="2" customWidth="1"/>
    <col min="6674" max="6674" width="15.140625" style="2" customWidth="1"/>
    <col min="6675" max="6675" width="11.85546875" style="2" customWidth="1"/>
    <col min="6676" max="6676" width="14" style="2" customWidth="1"/>
    <col min="6677" max="6912" width="11.42578125" style="2"/>
    <col min="6913" max="6913" width="38.7109375" style="2" customWidth="1"/>
    <col min="6914" max="6916" width="9.7109375" style="2" customWidth="1"/>
    <col min="6917" max="6918" width="0" style="2" hidden="1" customWidth="1"/>
    <col min="6919" max="6919" width="18.140625" style="2" customWidth="1"/>
    <col min="6920" max="6920" width="6.140625" style="2" customWidth="1"/>
    <col min="6921" max="6921" width="12.28515625" style="2" customWidth="1"/>
    <col min="6922" max="6922" width="0" style="2" hidden="1" customWidth="1"/>
    <col min="6923" max="6923" width="9.28515625" style="2" customWidth="1"/>
    <col min="6924" max="6926" width="11.5703125" style="2" customWidth="1"/>
    <col min="6927" max="6927" width="13.85546875" style="2" customWidth="1"/>
    <col min="6928" max="6929" width="11.5703125" style="2" customWidth="1"/>
    <col min="6930" max="6930" width="15.140625" style="2" customWidth="1"/>
    <col min="6931" max="6931" width="11.85546875" style="2" customWidth="1"/>
    <col min="6932" max="6932" width="14" style="2" customWidth="1"/>
    <col min="6933" max="7168" width="11.42578125" style="2"/>
    <col min="7169" max="7169" width="38.7109375" style="2" customWidth="1"/>
    <col min="7170" max="7172" width="9.7109375" style="2" customWidth="1"/>
    <col min="7173" max="7174" width="0" style="2" hidden="1" customWidth="1"/>
    <col min="7175" max="7175" width="18.140625" style="2" customWidth="1"/>
    <col min="7176" max="7176" width="6.140625" style="2" customWidth="1"/>
    <col min="7177" max="7177" width="12.28515625" style="2" customWidth="1"/>
    <col min="7178" max="7178" width="0" style="2" hidden="1" customWidth="1"/>
    <col min="7179" max="7179" width="9.28515625" style="2" customWidth="1"/>
    <col min="7180" max="7182" width="11.5703125" style="2" customWidth="1"/>
    <col min="7183" max="7183" width="13.85546875" style="2" customWidth="1"/>
    <col min="7184" max="7185" width="11.5703125" style="2" customWidth="1"/>
    <col min="7186" max="7186" width="15.140625" style="2" customWidth="1"/>
    <col min="7187" max="7187" width="11.85546875" style="2" customWidth="1"/>
    <col min="7188" max="7188" width="14" style="2" customWidth="1"/>
    <col min="7189" max="7424" width="11.42578125" style="2"/>
    <col min="7425" max="7425" width="38.7109375" style="2" customWidth="1"/>
    <col min="7426" max="7428" width="9.7109375" style="2" customWidth="1"/>
    <col min="7429" max="7430" width="0" style="2" hidden="1" customWidth="1"/>
    <col min="7431" max="7431" width="18.140625" style="2" customWidth="1"/>
    <col min="7432" max="7432" width="6.140625" style="2" customWidth="1"/>
    <col min="7433" max="7433" width="12.28515625" style="2" customWidth="1"/>
    <col min="7434" max="7434" width="0" style="2" hidden="1" customWidth="1"/>
    <col min="7435" max="7435" width="9.28515625" style="2" customWidth="1"/>
    <col min="7436" max="7438" width="11.5703125" style="2" customWidth="1"/>
    <col min="7439" max="7439" width="13.85546875" style="2" customWidth="1"/>
    <col min="7440" max="7441" width="11.5703125" style="2" customWidth="1"/>
    <col min="7442" max="7442" width="15.140625" style="2" customWidth="1"/>
    <col min="7443" max="7443" width="11.85546875" style="2" customWidth="1"/>
    <col min="7444" max="7444" width="14" style="2" customWidth="1"/>
    <col min="7445" max="7680" width="11.42578125" style="2"/>
    <col min="7681" max="7681" width="38.7109375" style="2" customWidth="1"/>
    <col min="7682" max="7684" width="9.7109375" style="2" customWidth="1"/>
    <col min="7685" max="7686" width="0" style="2" hidden="1" customWidth="1"/>
    <col min="7687" max="7687" width="18.140625" style="2" customWidth="1"/>
    <col min="7688" max="7688" width="6.140625" style="2" customWidth="1"/>
    <col min="7689" max="7689" width="12.28515625" style="2" customWidth="1"/>
    <col min="7690" max="7690" width="0" style="2" hidden="1" customWidth="1"/>
    <col min="7691" max="7691" width="9.28515625" style="2" customWidth="1"/>
    <col min="7692" max="7694" width="11.5703125" style="2" customWidth="1"/>
    <col min="7695" max="7695" width="13.85546875" style="2" customWidth="1"/>
    <col min="7696" max="7697" width="11.5703125" style="2" customWidth="1"/>
    <col min="7698" max="7698" width="15.140625" style="2" customWidth="1"/>
    <col min="7699" max="7699" width="11.85546875" style="2" customWidth="1"/>
    <col min="7700" max="7700" width="14" style="2" customWidth="1"/>
    <col min="7701" max="7936" width="11.42578125" style="2"/>
    <col min="7937" max="7937" width="38.7109375" style="2" customWidth="1"/>
    <col min="7938" max="7940" width="9.7109375" style="2" customWidth="1"/>
    <col min="7941" max="7942" width="0" style="2" hidden="1" customWidth="1"/>
    <col min="7943" max="7943" width="18.140625" style="2" customWidth="1"/>
    <col min="7944" max="7944" width="6.140625" style="2" customWidth="1"/>
    <col min="7945" max="7945" width="12.28515625" style="2" customWidth="1"/>
    <col min="7946" max="7946" width="0" style="2" hidden="1" customWidth="1"/>
    <col min="7947" max="7947" width="9.28515625" style="2" customWidth="1"/>
    <col min="7948" max="7950" width="11.5703125" style="2" customWidth="1"/>
    <col min="7951" max="7951" width="13.85546875" style="2" customWidth="1"/>
    <col min="7952" max="7953" width="11.5703125" style="2" customWidth="1"/>
    <col min="7954" max="7954" width="15.140625" style="2" customWidth="1"/>
    <col min="7955" max="7955" width="11.85546875" style="2" customWidth="1"/>
    <col min="7956" max="7956" width="14" style="2" customWidth="1"/>
    <col min="7957" max="8192" width="11.42578125" style="2"/>
    <col min="8193" max="8193" width="38.7109375" style="2" customWidth="1"/>
    <col min="8194" max="8196" width="9.7109375" style="2" customWidth="1"/>
    <col min="8197" max="8198" width="0" style="2" hidden="1" customWidth="1"/>
    <col min="8199" max="8199" width="18.140625" style="2" customWidth="1"/>
    <col min="8200" max="8200" width="6.140625" style="2" customWidth="1"/>
    <col min="8201" max="8201" width="12.28515625" style="2" customWidth="1"/>
    <col min="8202" max="8202" width="0" style="2" hidden="1" customWidth="1"/>
    <col min="8203" max="8203" width="9.28515625" style="2" customWidth="1"/>
    <col min="8204" max="8206" width="11.5703125" style="2" customWidth="1"/>
    <col min="8207" max="8207" width="13.85546875" style="2" customWidth="1"/>
    <col min="8208" max="8209" width="11.5703125" style="2" customWidth="1"/>
    <col min="8210" max="8210" width="15.140625" style="2" customWidth="1"/>
    <col min="8211" max="8211" width="11.85546875" style="2" customWidth="1"/>
    <col min="8212" max="8212" width="14" style="2" customWidth="1"/>
    <col min="8213" max="8448" width="11.42578125" style="2"/>
    <col min="8449" max="8449" width="38.7109375" style="2" customWidth="1"/>
    <col min="8450" max="8452" width="9.7109375" style="2" customWidth="1"/>
    <col min="8453" max="8454" width="0" style="2" hidden="1" customWidth="1"/>
    <col min="8455" max="8455" width="18.140625" style="2" customWidth="1"/>
    <col min="8456" max="8456" width="6.140625" style="2" customWidth="1"/>
    <col min="8457" max="8457" width="12.28515625" style="2" customWidth="1"/>
    <col min="8458" max="8458" width="0" style="2" hidden="1" customWidth="1"/>
    <col min="8459" max="8459" width="9.28515625" style="2" customWidth="1"/>
    <col min="8460" max="8462" width="11.5703125" style="2" customWidth="1"/>
    <col min="8463" max="8463" width="13.85546875" style="2" customWidth="1"/>
    <col min="8464" max="8465" width="11.5703125" style="2" customWidth="1"/>
    <col min="8466" max="8466" width="15.140625" style="2" customWidth="1"/>
    <col min="8467" max="8467" width="11.85546875" style="2" customWidth="1"/>
    <col min="8468" max="8468" width="14" style="2" customWidth="1"/>
    <col min="8469" max="8704" width="11.42578125" style="2"/>
    <col min="8705" max="8705" width="38.7109375" style="2" customWidth="1"/>
    <col min="8706" max="8708" width="9.7109375" style="2" customWidth="1"/>
    <col min="8709" max="8710" width="0" style="2" hidden="1" customWidth="1"/>
    <col min="8711" max="8711" width="18.140625" style="2" customWidth="1"/>
    <col min="8712" max="8712" width="6.140625" style="2" customWidth="1"/>
    <col min="8713" max="8713" width="12.28515625" style="2" customWidth="1"/>
    <col min="8714" max="8714" width="0" style="2" hidden="1" customWidth="1"/>
    <col min="8715" max="8715" width="9.28515625" style="2" customWidth="1"/>
    <col min="8716" max="8718" width="11.5703125" style="2" customWidth="1"/>
    <col min="8719" max="8719" width="13.85546875" style="2" customWidth="1"/>
    <col min="8720" max="8721" width="11.5703125" style="2" customWidth="1"/>
    <col min="8722" max="8722" width="15.140625" style="2" customWidth="1"/>
    <col min="8723" max="8723" width="11.85546875" style="2" customWidth="1"/>
    <col min="8724" max="8724" width="14" style="2" customWidth="1"/>
    <col min="8725" max="8960" width="11.42578125" style="2"/>
    <col min="8961" max="8961" width="38.7109375" style="2" customWidth="1"/>
    <col min="8962" max="8964" width="9.7109375" style="2" customWidth="1"/>
    <col min="8965" max="8966" width="0" style="2" hidden="1" customWidth="1"/>
    <col min="8967" max="8967" width="18.140625" style="2" customWidth="1"/>
    <col min="8968" max="8968" width="6.140625" style="2" customWidth="1"/>
    <col min="8969" max="8969" width="12.28515625" style="2" customWidth="1"/>
    <col min="8970" max="8970" width="0" style="2" hidden="1" customWidth="1"/>
    <col min="8971" max="8971" width="9.28515625" style="2" customWidth="1"/>
    <col min="8972" max="8974" width="11.5703125" style="2" customWidth="1"/>
    <col min="8975" max="8975" width="13.85546875" style="2" customWidth="1"/>
    <col min="8976" max="8977" width="11.5703125" style="2" customWidth="1"/>
    <col min="8978" max="8978" width="15.140625" style="2" customWidth="1"/>
    <col min="8979" max="8979" width="11.85546875" style="2" customWidth="1"/>
    <col min="8980" max="8980" width="14" style="2" customWidth="1"/>
    <col min="8981" max="9216" width="11.42578125" style="2"/>
    <col min="9217" max="9217" width="38.7109375" style="2" customWidth="1"/>
    <col min="9218" max="9220" width="9.7109375" style="2" customWidth="1"/>
    <col min="9221" max="9222" width="0" style="2" hidden="1" customWidth="1"/>
    <col min="9223" max="9223" width="18.140625" style="2" customWidth="1"/>
    <col min="9224" max="9224" width="6.140625" style="2" customWidth="1"/>
    <col min="9225" max="9225" width="12.28515625" style="2" customWidth="1"/>
    <col min="9226" max="9226" width="0" style="2" hidden="1" customWidth="1"/>
    <col min="9227" max="9227" width="9.28515625" style="2" customWidth="1"/>
    <col min="9228" max="9230" width="11.5703125" style="2" customWidth="1"/>
    <col min="9231" max="9231" width="13.85546875" style="2" customWidth="1"/>
    <col min="9232" max="9233" width="11.5703125" style="2" customWidth="1"/>
    <col min="9234" max="9234" width="15.140625" style="2" customWidth="1"/>
    <col min="9235" max="9235" width="11.85546875" style="2" customWidth="1"/>
    <col min="9236" max="9236" width="14" style="2" customWidth="1"/>
    <col min="9237" max="9472" width="11.42578125" style="2"/>
    <col min="9473" max="9473" width="38.7109375" style="2" customWidth="1"/>
    <col min="9474" max="9476" width="9.7109375" style="2" customWidth="1"/>
    <col min="9477" max="9478" width="0" style="2" hidden="1" customWidth="1"/>
    <col min="9479" max="9479" width="18.140625" style="2" customWidth="1"/>
    <col min="9480" max="9480" width="6.140625" style="2" customWidth="1"/>
    <col min="9481" max="9481" width="12.28515625" style="2" customWidth="1"/>
    <col min="9482" max="9482" width="0" style="2" hidden="1" customWidth="1"/>
    <col min="9483" max="9483" width="9.28515625" style="2" customWidth="1"/>
    <col min="9484" max="9486" width="11.5703125" style="2" customWidth="1"/>
    <col min="9487" max="9487" width="13.85546875" style="2" customWidth="1"/>
    <col min="9488" max="9489" width="11.5703125" style="2" customWidth="1"/>
    <col min="9490" max="9490" width="15.140625" style="2" customWidth="1"/>
    <col min="9491" max="9491" width="11.85546875" style="2" customWidth="1"/>
    <col min="9492" max="9492" width="14" style="2" customWidth="1"/>
    <col min="9493" max="9728" width="11.42578125" style="2"/>
    <col min="9729" max="9729" width="38.7109375" style="2" customWidth="1"/>
    <col min="9730" max="9732" width="9.7109375" style="2" customWidth="1"/>
    <col min="9733" max="9734" width="0" style="2" hidden="1" customWidth="1"/>
    <col min="9735" max="9735" width="18.140625" style="2" customWidth="1"/>
    <col min="9736" max="9736" width="6.140625" style="2" customWidth="1"/>
    <col min="9737" max="9737" width="12.28515625" style="2" customWidth="1"/>
    <col min="9738" max="9738" width="0" style="2" hidden="1" customWidth="1"/>
    <col min="9739" max="9739" width="9.28515625" style="2" customWidth="1"/>
    <col min="9740" max="9742" width="11.5703125" style="2" customWidth="1"/>
    <col min="9743" max="9743" width="13.85546875" style="2" customWidth="1"/>
    <col min="9744" max="9745" width="11.5703125" style="2" customWidth="1"/>
    <col min="9746" max="9746" width="15.140625" style="2" customWidth="1"/>
    <col min="9747" max="9747" width="11.85546875" style="2" customWidth="1"/>
    <col min="9748" max="9748" width="14" style="2" customWidth="1"/>
    <col min="9749" max="9984" width="11.42578125" style="2"/>
    <col min="9985" max="9985" width="38.7109375" style="2" customWidth="1"/>
    <col min="9986" max="9988" width="9.7109375" style="2" customWidth="1"/>
    <col min="9989" max="9990" width="0" style="2" hidden="1" customWidth="1"/>
    <col min="9991" max="9991" width="18.140625" style="2" customWidth="1"/>
    <col min="9992" max="9992" width="6.140625" style="2" customWidth="1"/>
    <col min="9993" max="9993" width="12.28515625" style="2" customWidth="1"/>
    <col min="9994" max="9994" width="0" style="2" hidden="1" customWidth="1"/>
    <col min="9995" max="9995" width="9.28515625" style="2" customWidth="1"/>
    <col min="9996" max="9998" width="11.5703125" style="2" customWidth="1"/>
    <col min="9999" max="9999" width="13.85546875" style="2" customWidth="1"/>
    <col min="10000" max="10001" width="11.5703125" style="2" customWidth="1"/>
    <col min="10002" max="10002" width="15.140625" style="2" customWidth="1"/>
    <col min="10003" max="10003" width="11.85546875" style="2" customWidth="1"/>
    <col min="10004" max="10004" width="14" style="2" customWidth="1"/>
    <col min="10005" max="10240" width="11.42578125" style="2"/>
    <col min="10241" max="10241" width="38.7109375" style="2" customWidth="1"/>
    <col min="10242" max="10244" width="9.7109375" style="2" customWidth="1"/>
    <col min="10245" max="10246" width="0" style="2" hidden="1" customWidth="1"/>
    <col min="10247" max="10247" width="18.140625" style="2" customWidth="1"/>
    <col min="10248" max="10248" width="6.140625" style="2" customWidth="1"/>
    <col min="10249" max="10249" width="12.28515625" style="2" customWidth="1"/>
    <col min="10250" max="10250" width="0" style="2" hidden="1" customWidth="1"/>
    <col min="10251" max="10251" width="9.28515625" style="2" customWidth="1"/>
    <col min="10252" max="10254" width="11.5703125" style="2" customWidth="1"/>
    <col min="10255" max="10255" width="13.85546875" style="2" customWidth="1"/>
    <col min="10256" max="10257" width="11.5703125" style="2" customWidth="1"/>
    <col min="10258" max="10258" width="15.140625" style="2" customWidth="1"/>
    <col min="10259" max="10259" width="11.85546875" style="2" customWidth="1"/>
    <col min="10260" max="10260" width="14" style="2" customWidth="1"/>
    <col min="10261" max="10496" width="11.42578125" style="2"/>
    <col min="10497" max="10497" width="38.7109375" style="2" customWidth="1"/>
    <col min="10498" max="10500" width="9.7109375" style="2" customWidth="1"/>
    <col min="10501" max="10502" width="0" style="2" hidden="1" customWidth="1"/>
    <col min="10503" max="10503" width="18.140625" style="2" customWidth="1"/>
    <col min="10504" max="10504" width="6.140625" style="2" customWidth="1"/>
    <col min="10505" max="10505" width="12.28515625" style="2" customWidth="1"/>
    <col min="10506" max="10506" width="0" style="2" hidden="1" customWidth="1"/>
    <col min="10507" max="10507" width="9.28515625" style="2" customWidth="1"/>
    <col min="10508" max="10510" width="11.5703125" style="2" customWidth="1"/>
    <col min="10511" max="10511" width="13.85546875" style="2" customWidth="1"/>
    <col min="10512" max="10513" width="11.5703125" style="2" customWidth="1"/>
    <col min="10514" max="10514" width="15.140625" style="2" customWidth="1"/>
    <col min="10515" max="10515" width="11.85546875" style="2" customWidth="1"/>
    <col min="10516" max="10516" width="14" style="2" customWidth="1"/>
    <col min="10517" max="10752" width="11.42578125" style="2"/>
    <col min="10753" max="10753" width="38.7109375" style="2" customWidth="1"/>
    <col min="10754" max="10756" width="9.7109375" style="2" customWidth="1"/>
    <col min="10757" max="10758" width="0" style="2" hidden="1" customWidth="1"/>
    <col min="10759" max="10759" width="18.140625" style="2" customWidth="1"/>
    <col min="10760" max="10760" width="6.140625" style="2" customWidth="1"/>
    <col min="10761" max="10761" width="12.28515625" style="2" customWidth="1"/>
    <col min="10762" max="10762" width="0" style="2" hidden="1" customWidth="1"/>
    <col min="10763" max="10763" width="9.28515625" style="2" customWidth="1"/>
    <col min="10764" max="10766" width="11.5703125" style="2" customWidth="1"/>
    <col min="10767" max="10767" width="13.85546875" style="2" customWidth="1"/>
    <col min="10768" max="10769" width="11.5703125" style="2" customWidth="1"/>
    <col min="10770" max="10770" width="15.140625" style="2" customWidth="1"/>
    <col min="10771" max="10771" width="11.85546875" style="2" customWidth="1"/>
    <col min="10772" max="10772" width="14" style="2" customWidth="1"/>
    <col min="10773" max="11008" width="11.42578125" style="2"/>
    <col min="11009" max="11009" width="38.7109375" style="2" customWidth="1"/>
    <col min="11010" max="11012" width="9.7109375" style="2" customWidth="1"/>
    <col min="11013" max="11014" width="0" style="2" hidden="1" customWidth="1"/>
    <col min="11015" max="11015" width="18.140625" style="2" customWidth="1"/>
    <col min="11016" max="11016" width="6.140625" style="2" customWidth="1"/>
    <col min="11017" max="11017" width="12.28515625" style="2" customWidth="1"/>
    <col min="11018" max="11018" width="0" style="2" hidden="1" customWidth="1"/>
    <col min="11019" max="11019" width="9.28515625" style="2" customWidth="1"/>
    <col min="11020" max="11022" width="11.5703125" style="2" customWidth="1"/>
    <col min="11023" max="11023" width="13.85546875" style="2" customWidth="1"/>
    <col min="11024" max="11025" width="11.5703125" style="2" customWidth="1"/>
    <col min="11026" max="11026" width="15.140625" style="2" customWidth="1"/>
    <col min="11027" max="11027" width="11.85546875" style="2" customWidth="1"/>
    <col min="11028" max="11028" width="14" style="2" customWidth="1"/>
    <col min="11029" max="11264" width="11.42578125" style="2"/>
    <col min="11265" max="11265" width="38.7109375" style="2" customWidth="1"/>
    <col min="11266" max="11268" width="9.7109375" style="2" customWidth="1"/>
    <col min="11269" max="11270" width="0" style="2" hidden="1" customWidth="1"/>
    <col min="11271" max="11271" width="18.140625" style="2" customWidth="1"/>
    <col min="11272" max="11272" width="6.140625" style="2" customWidth="1"/>
    <col min="11273" max="11273" width="12.28515625" style="2" customWidth="1"/>
    <col min="11274" max="11274" width="0" style="2" hidden="1" customWidth="1"/>
    <col min="11275" max="11275" width="9.28515625" style="2" customWidth="1"/>
    <col min="11276" max="11278" width="11.5703125" style="2" customWidth="1"/>
    <col min="11279" max="11279" width="13.85546875" style="2" customWidth="1"/>
    <col min="11280" max="11281" width="11.5703125" style="2" customWidth="1"/>
    <col min="11282" max="11282" width="15.140625" style="2" customWidth="1"/>
    <col min="11283" max="11283" width="11.85546875" style="2" customWidth="1"/>
    <col min="11284" max="11284" width="14" style="2" customWidth="1"/>
    <col min="11285" max="11520" width="11.42578125" style="2"/>
    <col min="11521" max="11521" width="38.7109375" style="2" customWidth="1"/>
    <col min="11522" max="11524" width="9.7109375" style="2" customWidth="1"/>
    <col min="11525" max="11526" width="0" style="2" hidden="1" customWidth="1"/>
    <col min="11527" max="11527" width="18.140625" style="2" customWidth="1"/>
    <col min="11528" max="11528" width="6.140625" style="2" customWidth="1"/>
    <col min="11529" max="11529" width="12.28515625" style="2" customWidth="1"/>
    <col min="11530" max="11530" width="0" style="2" hidden="1" customWidth="1"/>
    <col min="11531" max="11531" width="9.28515625" style="2" customWidth="1"/>
    <col min="11532" max="11534" width="11.5703125" style="2" customWidth="1"/>
    <col min="11535" max="11535" width="13.85546875" style="2" customWidth="1"/>
    <col min="11536" max="11537" width="11.5703125" style="2" customWidth="1"/>
    <col min="11538" max="11538" width="15.140625" style="2" customWidth="1"/>
    <col min="11539" max="11539" width="11.85546875" style="2" customWidth="1"/>
    <col min="11540" max="11540" width="14" style="2" customWidth="1"/>
    <col min="11541" max="11776" width="11.42578125" style="2"/>
    <col min="11777" max="11777" width="38.7109375" style="2" customWidth="1"/>
    <col min="11778" max="11780" width="9.7109375" style="2" customWidth="1"/>
    <col min="11781" max="11782" width="0" style="2" hidden="1" customWidth="1"/>
    <col min="11783" max="11783" width="18.140625" style="2" customWidth="1"/>
    <col min="11784" max="11784" width="6.140625" style="2" customWidth="1"/>
    <col min="11785" max="11785" width="12.28515625" style="2" customWidth="1"/>
    <col min="11786" max="11786" width="0" style="2" hidden="1" customWidth="1"/>
    <col min="11787" max="11787" width="9.28515625" style="2" customWidth="1"/>
    <col min="11788" max="11790" width="11.5703125" style="2" customWidth="1"/>
    <col min="11791" max="11791" width="13.85546875" style="2" customWidth="1"/>
    <col min="11792" max="11793" width="11.5703125" style="2" customWidth="1"/>
    <col min="11794" max="11794" width="15.140625" style="2" customWidth="1"/>
    <col min="11795" max="11795" width="11.85546875" style="2" customWidth="1"/>
    <col min="11796" max="11796" width="14" style="2" customWidth="1"/>
    <col min="11797" max="12032" width="11.42578125" style="2"/>
    <col min="12033" max="12033" width="38.7109375" style="2" customWidth="1"/>
    <col min="12034" max="12036" width="9.7109375" style="2" customWidth="1"/>
    <col min="12037" max="12038" width="0" style="2" hidden="1" customWidth="1"/>
    <col min="12039" max="12039" width="18.140625" style="2" customWidth="1"/>
    <col min="12040" max="12040" width="6.140625" style="2" customWidth="1"/>
    <col min="12041" max="12041" width="12.28515625" style="2" customWidth="1"/>
    <col min="12042" max="12042" width="0" style="2" hidden="1" customWidth="1"/>
    <col min="12043" max="12043" width="9.28515625" style="2" customWidth="1"/>
    <col min="12044" max="12046" width="11.5703125" style="2" customWidth="1"/>
    <col min="12047" max="12047" width="13.85546875" style="2" customWidth="1"/>
    <col min="12048" max="12049" width="11.5703125" style="2" customWidth="1"/>
    <col min="12050" max="12050" width="15.140625" style="2" customWidth="1"/>
    <col min="12051" max="12051" width="11.85546875" style="2" customWidth="1"/>
    <col min="12052" max="12052" width="14" style="2" customWidth="1"/>
    <col min="12053" max="12288" width="11.42578125" style="2"/>
    <col min="12289" max="12289" width="38.7109375" style="2" customWidth="1"/>
    <col min="12290" max="12292" width="9.7109375" style="2" customWidth="1"/>
    <col min="12293" max="12294" width="0" style="2" hidden="1" customWidth="1"/>
    <col min="12295" max="12295" width="18.140625" style="2" customWidth="1"/>
    <col min="12296" max="12296" width="6.140625" style="2" customWidth="1"/>
    <col min="12297" max="12297" width="12.28515625" style="2" customWidth="1"/>
    <col min="12298" max="12298" width="0" style="2" hidden="1" customWidth="1"/>
    <col min="12299" max="12299" width="9.28515625" style="2" customWidth="1"/>
    <col min="12300" max="12302" width="11.5703125" style="2" customWidth="1"/>
    <col min="12303" max="12303" width="13.85546875" style="2" customWidth="1"/>
    <col min="12304" max="12305" width="11.5703125" style="2" customWidth="1"/>
    <col min="12306" max="12306" width="15.140625" style="2" customWidth="1"/>
    <col min="12307" max="12307" width="11.85546875" style="2" customWidth="1"/>
    <col min="12308" max="12308" width="14" style="2" customWidth="1"/>
    <col min="12309" max="12544" width="11.42578125" style="2"/>
    <col min="12545" max="12545" width="38.7109375" style="2" customWidth="1"/>
    <col min="12546" max="12548" width="9.7109375" style="2" customWidth="1"/>
    <col min="12549" max="12550" width="0" style="2" hidden="1" customWidth="1"/>
    <col min="12551" max="12551" width="18.140625" style="2" customWidth="1"/>
    <col min="12552" max="12552" width="6.140625" style="2" customWidth="1"/>
    <col min="12553" max="12553" width="12.28515625" style="2" customWidth="1"/>
    <col min="12554" max="12554" width="0" style="2" hidden="1" customWidth="1"/>
    <col min="12555" max="12555" width="9.28515625" style="2" customWidth="1"/>
    <col min="12556" max="12558" width="11.5703125" style="2" customWidth="1"/>
    <col min="12559" max="12559" width="13.85546875" style="2" customWidth="1"/>
    <col min="12560" max="12561" width="11.5703125" style="2" customWidth="1"/>
    <col min="12562" max="12562" width="15.140625" style="2" customWidth="1"/>
    <col min="12563" max="12563" width="11.85546875" style="2" customWidth="1"/>
    <col min="12564" max="12564" width="14" style="2" customWidth="1"/>
    <col min="12565" max="12800" width="11.42578125" style="2"/>
    <col min="12801" max="12801" width="38.7109375" style="2" customWidth="1"/>
    <col min="12802" max="12804" width="9.7109375" style="2" customWidth="1"/>
    <col min="12805" max="12806" width="0" style="2" hidden="1" customWidth="1"/>
    <col min="12807" max="12807" width="18.140625" style="2" customWidth="1"/>
    <col min="12808" max="12808" width="6.140625" style="2" customWidth="1"/>
    <col min="12809" max="12809" width="12.28515625" style="2" customWidth="1"/>
    <col min="12810" max="12810" width="0" style="2" hidden="1" customWidth="1"/>
    <col min="12811" max="12811" width="9.28515625" style="2" customWidth="1"/>
    <col min="12812" max="12814" width="11.5703125" style="2" customWidth="1"/>
    <col min="12815" max="12815" width="13.85546875" style="2" customWidth="1"/>
    <col min="12816" max="12817" width="11.5703125" style="2" customWidth="1"/>
    <col min="12818" max="12818" width="15.140625" style="2" customWidth="1"/>
    <col min="12819" max="12819" width="11.85546875" style="2" customWidth="1"/>
    <col min="12820" max="12820" width="14" style="2" customWidth="1"/>
    <col min="12821" max="13056" width="11.42578125" style="2"/>
    <col min="13057" max="13057" width="38.7109375" style="2" customWidth="1"/>
    <col min="13058" max="13060" width="9.7109375" style="2" customWidth="1"/>
    <col min="13061" max="13062" width="0" style="2" hidden="1" customWidth="1"/>
    <col min="13063" max="13063" width="18.140625" style="2" customWidth="1"/>
    <col min="13064" max="13064" width="6.140625" style="2" customWidth="1"/>
    <col min="13065" max="13065" width="12.28515625" style="2" customWidth="1"/>
    <col min="13066" max="13066" width="0" style="2" hidden="1" customWidth="1"/>
    <col min="13067" max="13067" width="9.28515625" style="2" customWidth="1"/>
    <col min="13068" max="13070" width="11.5703125" style="2" customWidth="1"/>
    <col min="13071" max="13071" width="13.85546875" style="2" customWidth="1"/>
    <col min="13072" max="13073" width="11.5703125" style="2" customWidth="1"/>
    <col min="13074" max="13074" width="15.140625" style="2" customWidth="1"/>
    <col min="13075" max="13075" width="11.85546875" style="2" customWidth="1"/>
    <col min="13076" max="13076" width="14" style="2" customWidth="1"/>
    <col min="13077" max="13312" width="11.42578125" style="2"/>
    <col min="13313" max="13313" width="38.7109375" style="2" customWidth="1"/>
    <col min="13314" max="13316" width="9.7109375" style="2" customWidth="1"/>
    <col min="13317" max="13318" width="0" style="2" hidden="1" customWidth="1"/>
    <col min="13319" max="13319" width="18.140625" style="2" customWidth="1"/>
    <col min="13320" max="13320" width="6.140625" style="2" customWidth="1"/>
    <col min="13321" max="13321" width="12.28515625" style="2" customWidth="1"/>
    <col min="13322" max="13322" width="0" style="2" hidden="1" customWidth="1"/>
    <col min="13323" max="13323" width="9.28515625" style="2" customWidth="1"/>
    <col min="13324" max="13326" width="11.5703125" style="2" customWidth="1"/>
    <col min="13327" max="13327" width="13.85546875" style="2" customWidth="1"/>
    <col min="13328" max="13329" width="11.5703125" style="2" customWidth="1"/>
    <col min="13330" max="13330" width="15.140625" style="2" customWidth="1"/>
    <col min="13331" max="13331" width="11.85546875" style="2" customWidth="1"/>
    <col min="13332" max="13332" width="14" style="2" customWidth="1"/>
    <col min="13333" max="13568" width="11.42578125" style="2"/>
    <col min="13569" max="13569" width="38.7109375" style="2" customWidth="1"/>
    <col min="13570" max="13572" width="9.7109375" style="2" customWidth="1"/>
    <col min="13573" max="13574" width="0" style="2" hidden="1" customWidth="1"/>
    <col min="13575" max="13575" width="18.140625" style="2" customWidth="1"/>
    <col min="13576" max="13576" width="6.140625" style="2" customWidth="1"/>
    <col min="13577" max="13577" width="12.28515625" style="2" customWidth="1"/>
    <col min="13578" max="13578" width="0" style="2" hidden="1" customWidth="1"/>
    <col min="13579" max="13579" width="9.28515625" style="2" customWidth="1"/>
    <col min="13580" max="13582" width="11.5703125" style="2" customWidth="1"/>
    <col min="13583" max="13583" width="13.85546875" style="2" customWidth="1"/>
    <col min="13584" max="13585" width="11.5703125" style="2" customWidth="1"/>
    <col min="13586" max="13586" width="15.140625" style="2" customWidth="1"/>
    <col min="13587" max="13587" width="11.85546875" style="2" customWidth="1"/>
    <col min="13588" max="13588" width="14" style="2" customWidth="1"/>
    <col min="13589" max="13824" width="11.42578125" style="2"/>
    <col min="13825" max="13825" width="38.7109375" style="2" customWidth="1"/>
    <col min="13826" max="13828" width="9.7109375" style="2" customWidth="1"/>
    <col min="13829" max="13830" width="0" style="2" hidden="1" customWidth="1"/>
    <col min="13831" max="13831" width="18.140625" style="2" customWidth="1"/>
    <col min="13832" max="13832" width="6.140625" style="2" customWidth="1"/>
    <col min="13833" max="13833" width="12.28515625" style="2" customWidth="1"/>
    <col min="13834" max="13834" width="0" style="2" hidden="1" customWidth="1"/>
    <col min="13835" max="13835" width="9.28515625" style="2" customWidth="1"/>
    <col min="13836" max="13838" width="11.5703125" style="2" customWidth="1"/>
    <col min="13839" max="13839" width="13.85546875" style="2" customWidth="1"/>
    <col min="13840" max="13841" width="11.5703125" style="2" customWidth="1"/>
    <col min="13842" max="13842" width="15.140625" style="2" customWidth="1"/>
    <col min="13843" max="13843" width="11.85546875" style="2" customWidth="1"/>
    <col min="13844" max="13844" width="14" style="2" customWidth="1"/>
    <col min="13845" max="14080" width="11.42578125" style="2"/>
    <col min="14081" max="14081" width="38.7109375" style="2" customWidth="1"/>
    <col min="14082" max="14084" width="9.7109375" style="2" customWidth="1"/>
    <col min="14085" max="14086" width="0" style="2" hidden="1" customWidth="1"/>
    <col min="14087" max="14087" width="18.140625" style="2" customWidth="1"/>
    <col min="14088" max="14088" width="6.140625" style="2" customWidth="1"/>
    <col min="14089" max="14089" width="12.28515625" style="2" customWidth="1"/>
    <col min="14090" max="14090" width="0" style="2" hidden="1" customWidth="1"/>
    <col min="14091" max="14091" width="9.28515625" style="2" customWidth="1"/>
    <col min="14092" max="14094" width="11.5703125" style="2" customWidth="1"/>
    <col min="14095" max="14095" width="13.85546875" style="2" customWidth="1"/>
    <col min="14096" max="14097" width="11.5703125" style="2" customWidth="1"/>
    <col min="14098" max="14098" width="15.140625" style="2" customWidth="1"/>
    <col min="14099" max="14099" width="11.85546875" style="2" customWidth="1"/>
    <col min="14100" max="14100" width="14" style="2" customWidth="1"/>
    <col min="14101" max="14336" width="11.42578125" style="2"/>
    <col min="14337" max="14337" width="38.7109375" style="2" customWidth="1"/>
    <col min="14338" max="14340" width="9.7109375" style="2" customWidth="1"/>
    <col min="14341" max="14342" width="0" style="2" hidden="1" customWidth="1"/>
    <col min="14343" max="14343" width="18.140625" style="2" customWidth="1"/>
    <col min="14344" max="14344" width="6.140625" style="2" customWidth="1"/>
    <col min="14345" max="14345" width="12.28515625" style="2" customWidth="1"/>
    <col min="14346" max="14346" width="0" style="2" hidden="1" customWidth="1"/>
    <col min="14347" max="14347" width="9.28515625" style="2" customWidth="1"/>
    <col min="14348" max="14350" width="11.5703125" style="2" customWidth="1"/>
    <col min="14351" max="14351" width="13.85546875" style="2" customWidth="1"/>
    <col min="14352" max="14353" width="11.5703125" style="2" customWidth="1"/>
    <col min="14354" max="14354" width="15.140625" style="2" customWidth="1"/>
    <col min="14355" max="14355" width="11.85546875" style="2" customWidth="1"/>
    <col min="14356" max="14356" width="14" style="2" customWidth="1"/>
    <col min="14357" max="14592" width="11.42578125" style="2"/>
    <col min="14593" max="14593" width="38.7109375" style="2" customWidth="1"/>
    <col min="14594" max="14596" width="9.7109375" style="2" customWidth="1"/>
    <col min="14597" max="14598" width="0" style="2" hidden="1" customWidth="1"/>
    <col min="14599" max="14599" width="18.140625" style="2" customWidth="1"/>
    <col min="14600" max="14600" width="6.140625" style="2" customWidth="1"/>
    <col min="14601" max="14601" width="12.28515625" style="2" customWidth="1"/>
    <col min="14602" max="14602" width="0" style="2" hidden="1" customWidth="1"/>
    <col min="14603" max="14603" width="9.28515625" style="2" customWidth="1"/>
    <col min="14604" max="14606" width="11.5703125" style="2" customWidth="1"/>
    <col min="14607" max="14607" width="13.85546875" style="2" customWidth="1"/>
    <col min="14608" max="14609" width="11.5703125" style="2" customWidth="1"/>
    <col min="14610" max="14610" width="15.140625" style="2" customWidth="1"/>
    <col min="14611" max="14611" width="11.85546875" style="2" customWidth="1"/>
    <col min="14612" max="14612" width="14" style="2" customWidth="1"/>
    <col min="14613" max="14848" width="11.42578125" style="2"/>
    <col min="14849" max="14849" width="38.7109375" style="2" customWidth="1"/>
    <col min="14850" max="14852" width="9.7109375" style="2" customWidth="1"/>
    <col min="14853" max="14854" width="0" style="2" hidden="1" customWidth="1"/>
    <col min="14855" max="14855" width="18.140625" style="2" customWidth="1"/>
    <col min="14856" max="14856" width="6.140625" style="2" customWidth="1"/>
    <col min="14857" max="14857" width="12.28515625" style="2" customWidth="1"/>
    <col min="14858" max="14858" width="0" style="2" hidden="1" customWidth="1"/>
    <col min="14859" max="14859" width="9.28515625" style="2" customWidth="1"/>
    <col min="14860" max="14862" width="11.5703125" style="2" customWidth="1"/>
    <col min="14863" max="14863" width="13.85546875" style="2" customWidth="1"/>
    <col min="14864" max="14865" width="11.5703125" style="2" customWidth="1"/>
    <col min="14866" max="14866" width="15.140625" style="2" customWidth="1"/>
    <col min="14867" max="14867" width="11.85546875" style="2" customWidth="1"/>
    <col min="14868" max="14868" width="14" style="2" customWidth="1"/>
    <col min="14869" max="15104" width="11.42578125" style="2"/>
    <col min="15105" max="15105" width="38.7109375" style="2" customWidth="1"/>
    <col min="15106" max="15108" width="9.7109375" style="2" customWidth="1"/>
    <col min="15109" max="15110" width="0" style="2" hidden="1" customWidth="1"/>
    <col min="15111" max="15111" width="18.140625" style="2" customWidth="1"/>
    <col min="15112" max="15112" width="6.140625" style="2" customWidth="1"/>
    <col min="15113" max="15113" width="12.28515625" style="2" customWidth="1"/>
    <col min="15114" max="15114" width="0" style="2" hidden="1" customWidth="1"/>
    <col min="15115" max="15115" width="9.28515625" style="2" customWidth="1"/>
    <col min="15116" max="15118" width="11.5703125" style="2" customWidth="1"/>
    <col min="15119" max="15119" width="13.85546875" style="2" customWidth="1"/>
    <col min="15120" max="15121" width="11.5703125" style="2" customWidth="1"/>
    <col min="15122" max="15122" width="15.140625" style="2" customWidth="1"/>
    <col min="15123" max="15123" width="11.85546875" style="2" customWidth="1"/>
    <col min="15124" max="15124" width="14" style="2" customWidth="1"/>
    <col min="15125" max="15360" width="11.42578125" style="2"/>
    <col min="15361" max="15361" width="38.7109375" style="2" customWidth="1"/>
    <col min="15362" max="15364" width="9.7109375" style="2" customWidth="1"/>
    <col min="15365" max="15366" width="0" style="2" hidden="1" customWidth="1"/>
    <col min="15367" max="15367" width="18.140625" style="2" customWidth="1"/>
    <col min="15368" max="15368" width="6.140625" style="2" customWidth="1"/>
    <col min="15369" max="15369" width="12.28515625" style="2" customWidth="1"/>
    <col min="15370" max="15370" width="0" style="2" hidden="1" customWidth="1"/>
    <col min="15371" max="15371" width="9.28515625" style="2" customWidth="1"/>
    <col min="15372" max="15374" width="11.5703125" style="2" customWidth="1"/>
    <col min="15375" max="15375" width="13.85546875" style="2" customWidth="1"/>
    <col min="15376" max="15377" width="11.5703125" style="2" customWidth="1"/>
    <col min="15378" max="15378" width="15.140625" style="2" customWidth="1"/>
    <col min="15379" max="15379" width="11.85546875" style="2" customWidth="1"/>
    <col min="15380" max="15380" width="14" style="2" customWidth="1"/>
    <col min="15381" max="15616" width="11.42578125" style="2"/>
    <col min="15617" max="15617" width="38.7109375" style="2" customWidth="1"/>
    <col min="15618" max="15620" width="9.7109375" style="2" customWidth="1"/>
    <col min="15621" max="15622" width="0" style="2" hidden="1" customWidth="1"/>
    <col min="15623" max="15623" width="18.140625" style="2" customWidth="1"/>
    <col min="15624" max="15624" width="6.140625" style="2" customWidth="1"/>
    <col min="15625" max="15625" width="12.28515625" style="2" customWidth="1"/>
    <col min="15626" max="15626" width="0" style="2" hidden="1" customWidth="1"/>
    <col min="15627" max="15627" width="9.28515625" style="2" customWidth="1"/>
    <col min="15628" max="15630" width="11.5703125" style="2" customWidth="1"/>
    <col min="15631" max="15631" width="13.85546875" style="2" customWidth="1"/>
    <col min="15632" max="15633" width="11.5703125" style="2" customWidth="1"/>
    <col min="15634" max="15634" width="15.140625" style="2" customWidth="1"/>
    <col min="15635" max="15635" width="11.85546875" style="2" customWidth="1"/>
    <col min="15636" max="15636" width="14" style="2" customWidth="1"/>
    <col min="15637" max="15872" width="11.42578125" style="2"/>
    <col min="15873" max="15873" width="38.7109375" style="2" customWidth="1"/>
    <col min="15874" max="15876" width="9.7109375" style="2" customWidth="1"/>
    <col min="15877" max="15878" width="0" style="2" hidden="1" customWidth="1"/>
    <col min="15879" max="15879" width="18.140625" style="2" customWidth="1"/>
    <col min="15880" max="15880" width="6.140625" style="2" customWidth="1"/>
    <col min="15881" max="15881" width="12.28515625" style="2" customWidth="1"/>
    <col min="15882" max="15882" width="0" style="2" hidden="1" customWidth="1"/>
    <col min="15883" max="15883" width="9.28515625" style="2" customWidth="1"/>
    <col min="15884" max="15886" width="11.5703125" style="2" customWidth="1"/>
    <col min="15887" max="15887" width="13.85546875" style="2" customWidth="1"/>
    <col min="15888" max="15889" width="11.5703125" style="2" customWidth="1"/>
    <col min="15890" max="15890" width="15.140625" style="2" customWidth="1"/>
    <col min="15891" max="15891" width="11.85546875" style="2" customWidth="1"/>
    <col min="15892" max="15892" width="14" style="2" customWidth="1"/>
    <col min="15893" max="16128" width="11.42578125" style="2"/>
    <col min="16129" max="16129" width="38.7109375" style="2" customWidth="1"/>
    <col min="16130" max="16132" width="9.7109375" style="2" customWidth="1"/>
    <col min="16133" max="16134" width="0" style="2" hidden="1" customWidth="1"/>
    <col min="16135" max="16135" width="18.140625" style="2" customWidth="1"/>
    <col min="16136" max="16136" width="6.140625" style="2" customWidth="1"/>
    <col min="16137" max="16137" width="12.28515625" style="2" customWidth="1"/>
    <col min="16138" max="16138" width="0" style="2" hidden="1" customWidth="1"/>
    <col min="16139" max="16139" width="9.28515625" style="2" customWidth="1"/>
    <col min="16140" max="16142" width="11.5703125" style="2" customWidth="1"/>
    <col min="16143" max="16143" width="13.85546875" style="2" customWidth="1"/>
    <col min="16144" max="16145" width="11.5703125" style="2" customWidth="1"/>
    <col min="16146" max="16146" width="15.140625" style="2" customWidth="1"/>
    <col min="16147" max="16147" width="11.85546875" style="2" customWidth="1"/>
    <col min="16148" max="16148" width="14" style="2" customWidth="1"/>
    <col min="16149" max="16384" width="11.42578125" style="2"/>
  </cols>
  <sheetData>
    <row r="1" spans="1:24" ht="26.25" x14ac:dyDescent="0.4">
      <c r="A1" s="75" t="s">
        <v>19</v>
      </c>
    </row>
    <row r="2" spans="1:24" s="27" customFormat="1" ht="26.25" x14ac:dyDescent="0.4">
      <c r="A2" s="75" t="s">
        <v>20</v>
      </c>
      <c r="E2" s="72"/>
      <c r="F2" s="72"/>
      <c r="G2" s="72"/>
      <c r="H2" s="72"/>
      <c r="I2" s="72"/>
      <c r="J2" s="72"/>
      <c r="K2" s="28"/>
      <c r="M2" s="29"/>
      <c r="N2" s="28"/>
      <c r="O2" s="57"/>
      <c r="Q2" s="29"/>
    </row>
    <row r="3" spans="1:24" s="27" customFormat="1" ht="26.25" x14ac:dyDescent="0.4">
      <c r="A3" s="2" t="s">
        <v>466</v>
      </c>
      <c r="E3" s="72"/>
      <c r="F3" s="72"/>
      <c r="G3" s="72"/>
      <c r="H3" s="72"/>
      <c r="I3" s="72"/>
      <c r="J3" s="72"/>
      <c r="K3" s="28"/>
      <c r="M3" s="29"/>
      <c r="N3" s="28"/>
      <c r="O3" s="57"/>
      <c r="Q3" s="29"/>
    </row>
    <row r="4" spans="1:24" x14ac:dyDescent="0.25">
      <c r="A4" s="1248" t="s">
        <v>707</v>
      </c>
      <c r="B4" s="1248"/>
      <c r="C4" s="1248"/>
      <c r="D4" s="1248"/>
      <c r="E4" s="1248"/>
      <c r="F4" s="1248"/>
      <c r="G4" s="1248"/>
      <c r="H4" s="1248"/>
      <c r="I4" s="1248"/>
      <c r="J4" s="1248"/>
      <c r="K4" s="1248"/>
      <c r="L4" s="1248"/>
      <c r="M4" s="1248"/>
      <c r="N4" s="1248"/>
      <c r="O4" s="1248"/>
      <c r="P4" s="1248"/>
      <c r="Q4" s="1248"/>
      <c r="R4" s="1248"/>
      <c r="S4" s="1248"/>
      <c r="T4" s="1248"/>
    </row>
    <row r="5" spans="1:24" ht="18.75" thickBot="1" x14ac:dyDescent="0.3">
      <c r="A5" s="6" t="s">
        <v>708</v>
      </c>
      <c r="B5" s="7"/>
      <c r="C5" s="7"/>
      <c r="D5" s="7"/>
      <c r="E5" s="73"/>
      <c r="F5" s="73"/>
      <c r="G5" s="73"/>
      <c r="H5" s="73"/>
      <c r="I5" s="73"/>
      <c r="J5" s="73"/>
      <c r="K5" s="7"/>
      <c r="L5" s="7"/>
      <c r="M5" s="7"/>
      <c r="N5" s="67"/>
      <c r="O5" s="58"/>
      <c r="P5" s="7"/>
      <c r="Q5" s="7"/>
      <c r="R5" s="7"/>
      <c r="S5" s="7"/>
      <c r="T5" s="7"/>
    </row>
    <row r="6" spans="1:24" ht="72.75" customHeight="1" thickBot="1" x14ac:dyDescent="0.3">
      <c r="A6" s="1285" t="s">
        <v>0</v>
      </c>
      <c r="B6" s="1287" t="s">
        <v>1</v>
      </c>
      <c r="C6" s="1289" t="s">
        <v>2</v>
      </c>
      <c r="D6" s="1291" t="s">
        <v>3</v>
      </c>
      <c r="E6" s="1293" t="s">
        <v>56</v>
      </c>
      <c r="F6" s="673"/>
      <c r="G6" s="1293" t="s">
        <v>133</v>
      </c>
      <c r="H6" s="1293" t="s">
        <v>36</v>
      </c>
      <c r="I6" s="1293" t="s">
        <v>56</v>
      </c>
      <c r="J6" s="1293" t="s">
        <v>56</v>
      </c>
      <c r="K6" s="1279" t="s">
        <v>49</v>
      </c>
      <c r="L6" s="1280"/>
      <c r="M6" s="1281"/>
      <c r="N6" s="1282" t="s">
        <v>48</v>
      </c>
      <c r="O6" s="1283"/>
      <c r="P6" s="1279" t="s">
        <v>44</v>
      </c>
      <c r="Q6" s="1281"/>
      <c r="R6" s="1279" t="s">
        <v>340</v>
      </c>
      <c r="S6" s="1280"/>
      <c r="T6" s="1281"/>
    </row>
    <row r="7" spans="1:24" ht="38.25" customHeight="1" thickBot="1" x14ac:dyDescent="0.3">
      <c r="A7" s="1286"/>
      <c r="B7" s="1288"/>
      <c r="C7" s="1290"/>
      <c r="D7" s="1292"/>
      <c r="E7" s="1294"/>
      <c r="F7" s="674"/>
      <c r="G7" s="1294"/>
      <c r="H7" s="1294"/>
      <c r="I7" s="1294"/>
      <c r="J7" s="1294"/>
      <c r="K7" s="675" t="s">
        <v>5</v>
      </c>
      <c r="L7" s="676" t="s">
        <v>17</v>
      </c>
      <c r="M7" s="677" t="s">
        <v>18</v>
      </c>
      <c r="N7" s="678" t="s">
        <v>47</v>
      </c>
      <c r="O7" s="679" t="s">
        <v>18</v>
      </c>
      <c r="P7" s="680" t="s">
        <v>43</v>
      </c>
      <c r="Q7" s="681" t="s">
        <v>42</v>
      </c>
      <c r="R7" s="682" t="s">
        <v>6</v>
      </c>
      <c r="S7" s="683" t="s">
        <v>18</v>
      </c>
      <c r="T7" s="684" t="s">
        <v>22</v>
      </c>
    </row>
    <row r="8" spans="1:24" ht="20.100000000000001" customHeight="1" thickBot="1" x14ac:dyDescent="0.3">
      <c r="A8" s="35" t="s">
        <v>467</v>
      </c>
      <c r="B8" s="252">
        <v>1200</v>
      </c>
      <c r="C8" s="250">
        <v>600</v>
      </c>
      <c r="D8" s="251">
        <v>50</v>
      </c>
      <c r="E8" s="278"/>
      <c r="F8" s="278"/>
      <c r="G8" s="685">
        <v>404567</v>
      </c>
      <c r="H8" s="686" t="s">
        <v>239</v>
      </c>
      <c r="I8" s="326"/>
      <c r="J8" s="176"/>
      <c r="K8" s="311">
        <v>6</v>
      </c>
      <c r="L8" s="323">
        <v>4.32</v>
      </c>
      <c r="M8" s="327">
        <v>0.216</v>
      </c>
      <c r="N8" s="281">
        <v>32</v>
      </c>
      <c r="O8" s="283">
        <v>6.9119999999999999</v>
      </c>
      <c r="P8" s="229">
        <v>76.031999999999996</v>
      </c>
      <c r="Q8" s="321"/>
      <c r="R8" s="687">
        <f>M8*S8</f>
        <v>875.44799999999998</v>
      </c>
      <c r="S8" s="224">
        <v>4053</v>
      </c>
      <c r="T8" s="688">
        <f t="shared" ref="T8:T20" si="0">S8*D8/1000</f>
        <v>202.65</v>
      </c>
      <c r="U8" s="4"/>
      <c r="W8" s="649"/>
      <c r="X8" s="82"/>
    </row>
    <row r="9" spans="1:24" ht="20.100000000000001" customHeight="1" thickBot="1" x14ac:dyDescent="0.3">
      <c r="A9" s="689" t="s">
        <v>468</v>
      </c>
      <c r="B9" s="203">
        <v>1200</v>
      </c>
      <c r="C9" s="204">
        <v>600</v>
      </c>
      <c r="D9" s="209">
        <v>60</v>
      </c>
      <c r="E9" s="263">
        <v>125</v>
      </c>
      <c r="F9" s="263">
        <v>18.08449074074074</v>
      </c>
      <c r="G9" s="690">
        <v>404568</v>
      </c>
      <c r="H9" s="686" t="s">
        <v>46</v>
      </c>
      <c r="I9" s="592">
        <f>J9/3</f>
        <v>131.328</v>
      </c>
      <c r="J9" s="177">
        <v>393.98400000000004</v>
      </c>
      <c r="K9" s="97">
        <v>5</v>
      </c>
      <c r="L9" s="691">
        <v>3.6</v>
      </c>
      <c r="M9" s="692">
        <v>0.216</v>
      </c>
      <c r="N9" s="97">
        <v>32</v>
      </c>
      <c r="O9" s="126">
        <v>6.9119999999999999</v>
      </c>
      <c r="P9" s="231">
        <v>76.031999999999996</v>
      </c>
      <c r="Q9" s="266"/>
      <c r="R9" s="687">
        <f t="shared" ref="R9:R31" si="1">M9*S9</f>
        <v>875.44799999999998</v>
      </c>
      <c r="S9" s="224">
        <f>S8</f>
        <v>4053</v>
      </c>
      <c r="T9" s="688">
        <f t="shared" si="0"/>
        <v>243.18</v>
      </c>
      <c r="U9" s="4"/>
      <c r="W9" s="649"/>
      <c r="X9" s="82"/>
    </row>
    <row r="10" spans="1:24" ht="20.100000000000001" customHeight="1" thickBot="1" x14ac:dyDescent="0.3">
      <c r="A10" s="693"/>
      <c r="B10" s="203">
        <v>1200</v>
      </c>
      <c r="C10" s="204">
        <v>600</v>
      </c>
      <c r="D10" s="209">
        <v>70</v>
      </c>
      <c r="E10" s="263">
        <v>125</v>
      </c>
      <c r="F10" s="263">
        <v>19.376240079365079</v>
      </c>
      <c r="G10" s="690">
        <v>404571</v>
      </c>
      <c r="H10" s="686" t="s">
        <v>46</v>
      </c>
      <c r="I10" s="592">
        <f t="shared" ref="I10:I20" si="2">J10/3</f>
        <v>129.024</v>
      </c>
      <c r="J10" s="177">
        <v>387.072</v>
      </c>
      <c r="K10" s="97">
        <v>4</v>
      </c>
      <c r="L10" s="166">
        <v>2.88</v>
      </c>
      <c r="M10" s="169">
        <v>0.2016</v>
      </c>
      <c r="N10" s="97">
        <v>32</v>
      </c>
      <c r="O10" s="126">
        <v>6.4512</v>
      </c>
      <c r="P10" s="231">
        <v>70.963200000000001</v>
      </c>
      <c r="Q10" s="266"/>
      <c r="R10" s="687">
        <f t="shared" si="1"/>
        <v>817.08479999999997</v>
      </c>
      <c r="S10" s="224">
        <f t="shared" ref="S10:S20" si="3">S9</f>
        <v>4053</v>
      </c>
      <c r="T10" s="688">
        <f t="shared" si="0"/>
        <v>283.70999999999998</v>
      </c>
      <c r="U10" s="4"/>
      <c r="W10" s="649"/>
      <c r="X10" s="82"/>
    </row>
    <row r="11" spans="1:24" ht="20.100000000000001" customHeight="1" thickBot="1" x14ac:dyDescent="0.3">
      <c r="A11" s="693"/>
      <c r="B11" s="203">
        <v>1200</v>
      </c>
      <c r="C11" s="204">
        <v>600</v>
      </c>
      <c r="D11" s="209">
        <v>80</v>
      </c>
      <c r="E11" s="263"/>
      <c r="F11" s="263">
        <v>0</v>
      </c>
      <c r="G11" s="690">
        <v>404576</v>
      </c>
      <c r="H11" s="686" t="s">
        <v>46</v>
      </c>
      <c r="I11" s="592"/>
      <c r="J11" s="177"/>
      <c r="K11" s="97">
        <v>5</v>
      </c>
      <c r="L11" s="166">
        <v>3.6</v>
      </c>
      <c r="M11" s="169">
        <v>0.28799999999999998</v>
      </c>
      <c r="N11" s="97">
        <v>24</v>
      </c>
      <c r="O11" s="126">
        <v>6.911999999999999</v>
      </c>
      <c r="P11" s="231">
        <v>76.031999999999982</v>
      </c>
      <c r="Q11" s="266"/>
      <c r="R11" s="687">
        <f t="shared" si="1"/>
        <v>1167.2639999999999</v>
      </c>
      <c r="S11" s="224">
        <f t="shared" si="3"/>
        <v>4053</v>
      </c>
      <c r="T11" s="688">
        <f t="shared" si="0"/>
        <v>324.24</v>
      </c>
      <c r="U11" s="4"/>
      <c r="W11" s="649"/>
      <c r="X11" s="82"/>
    </row>
    <row r="12" spans="1:24" ht="20.100000000000001" customHeight="1" thickBot="1" x14ac:dyDescent="0.3">
      <c r="A12" s="693"/>
      <c r="B12" s="203">
        <v>1200</v>
      </c>
      <c r="C12" s="204">
        <v>600</v>
      </c>
      <c r="D12" s="209">
        <v>90</v>
      </c>
      <c r="E12" s="263">
        <v>125</v>
      </c>
      <c r="F12" s="263">
        <v>20.093878600823047</v>
      </c>
      <c r="G12" s="690">
        <v>404578</v>
      </c>
      <c r="H12" s="686" t="s">
        <v>46</v>
      </c>
      <c r="I12" s="592">
        <f t="shared" si="2"/>
        <v>130.63679999999999</v>
      </c>
      <c r="J12" s="177">
        <v>391.91039999999998</v>
      </c>
      <c r="K12" s="97">
        <v>4</v>
      </c>
      <c r="L12" s="166">
        <v>2.88</v>
      </c>
      <c r="M12" s="169">
        <v>0.25919999999999999</v>
      </c>
      <c r="N12" s="97">
        <v>24</v>
      </c>
      <c r="O12" s="126">
        <v>6.2207999999999997</v>
      </c>
      <c r="P12" s="231">
        <v>68.428799999999995</v>
      </c>
      <c r="Q12" s="266"/>
      <c r="R12" s="687">
        <f t="shared" si="1"/>
        <v>1050.5375999999999</v>
      </c>
      <c r="S12" s="224">
        <f t="shared" si="3"/>
        <v>4053</v>
      </c>
      <c r="T12" s="688">
        <f t="shared" si="0"/>
        <v>364.77</v>
      </c>
      <c r="U12" s="4"/>
      <c r="W12" s="649"/>
      <c r="X12" s="82"/>
    </row>
    <row r="13" spans="1:24" ht="20.100000000000001" customHeight="1" thickBot="1" x14ac:dyDescent="0.3">
      <c r="A13" s="693"/>
      <c r="B13" s="203">
        <v>1200</v>
      </c>
      <c r="C13" s="204">
        <v>600</v>
      </c>
      <c r="D13" s="209">
        <v>100</v>
      </c>
      <c r="E13" s="263"/>
      <c r="F13" s="263">
        <v>0</v>
      </c>
      <c r="G13" s="690">
        <v>404579</v>
      </c>
      <c r="H13" s="686" t="s">
        <v>239</v>
      </c>
      <c r="I13" s="592"/>
      <c r="J13" s="177"/>
      <c r="K13" s="97">
        <v>4</v>
      </c>
      <c r="L13" s="166">
        <v>2.88</v>
      </c>
      <c r="M13" s="169">
        <v>0.28799999999999998</v>
      </c>
      <c r="N13" s="97">
        <v>24</v>
      </c>
      <c r="O13" s="126">
        <v>6.9119999999999999</v>
      </c>
      <c r="P13" s="231">
        <v>76.031999999999996</v>
      </c>
      <c r="Q13" s="266"/>
      <c r="R13" s="687">
        <f t="shared" si="1"/>
        <v>1167.2639999999999</v>
      </c>
      <c r="S13" s="224">
        <f t="shared" si="3"/>
        <v>4053</v>
      </c>
      <c r="T13" s="688">
        <f t="shared" si="0"/>
        <v>405.3</v>
      </c>
      <c r="U13" s="4"/>
      <c r="W13" s="649"/>
      <c r="X13" s="82"/>
    </row>
    <row r="14" spans="1:24" ht="20.100000000000001" customHeight="1" thickBot="1" x14ac:dyDescent="0.3">
      <c r="A14" s="693"/>
      <c r="B14" s="203">
        <v>1200</v>
      </c>
      <c r="C14" s="204">
        <v>600</v>
      </c>
      <c r="D14" s="209">
        <v>110</v>
      </c>
      <c r="E14" s="263">
        <v>125</v>
      </c>
      <c r="F14" s="263">
        <v>18.789081289081288</v>
      </c>
      <c r="G14" s="690">
        <v>404587</v>
      </c>
      <c r="H14" s="686" t="s">
        <v>46</v>
      </c>
      <c r="I14" s="592">
        <f t="shared" si="2"/>
        <v>126.40320000000001</v>
      </c>
      <c r="J14" s="177">
        <v>379.20960000000002</v>
      </c>
      <c r="K14" s="97">
        <v>3</v>
      </c>
      <c r="L14" s="166">
        <v>2.16</v>
      </c>
      <c r="M14" s="169">
        <v>0.23760000000000003</v>
      </c>
      <c r="N14" s="97">
        <v>28</v>
      </c>
      <c r="O14" s="126">
        <v>6.6528000000000009</v>
      </c>
      <c r="P14" s="231">
        <v>73.180800000000005</v>
      </c>
      <c r="Q14" s="266"/>
      <c r="R14" s="687">
        <f t="shared" si="1"/>
        <v>962.9928000000001</v>
      </c>
      <c r="S14" s="224">
        <f t="shared" si="3"/>
        <v>4053</v>
      </c>
      <c r="T14" s="688">
        <f t="shared" si="0"/>
        <v>445.83</v>
      </c>
      <c r="U14" s="4"/>
      <c r="W14" s="649"/>
      <c r="X14" s="82"/>
    </row>
    <row r="15" spans="1:24" ht="20.100000000000001" customHeight="1" thickBot="1" x14ac:dyDescent="0.3">
      <c r="A15" s="693"/>
      <c r="B15" s="203">
        <v>1200</v>
      </c>
      <c r="C15" s="204">
        <v>600</v>
      </c>
      <c r="D15" s="209">
        <v>120</v>
      </c>
      <c r="E15" s="263">
        <v>125</v>
      </c>
      <c r="F15" s="263">
        <v>20.093878600823043</v>
      </c>
      <c r="G15" s="690">
        <v>404589</v>
      </c>
      <c r="H15" s="686" t="s">
        <v>46</v>
      </c>
      <c r="I15" s="592">
        <f t="shared" si="2"/>
        <v>130.63680000000002</v>
      </c>
      <c r="J15" s="177">
        <v>391.9104000000001</v>
      </c>
      <c r="K15" s="97">
        <v>3</v>
      </c>
      <c r="L15" s="166">
        <v>2.16</v>
      </c>
      <c r="M15" s="169">
        <v>0.25920000000000004</v>
      </c>
      <c r="N15" s="97">
        <v>24</v>
      </c>
      <c r="O15" s="126">
        <v>6.2208000000000006</v>
      </c>
      <c r="P15" s="231">
        <v>68.42880000000001</v>
      </c>
      <c r="Q15" s="266"/>
      <c r="R15" s="687">
        <f t="shared" si="1"/>
        <v>1050.5376000000001</v>
      </c>
      <c r="S15" s="224">
        <f t="shared" si="3"/>
        <v>4053</v>
      </c>
      <c r="T15" s="688">
        <f t="shared" si="0"/>
        <v>486.36</v>
      </c>
      <c r="U15" s="4"/>
      <c r="W15" s="649"/>
      <c r="X15" s="82"/>
    </row>
    <row r="16" spans="1:24" ht="20.100000000000001" customHeight="1" thickBot="1" x14ac:dyDescent="0.3">
      <c r="A16" s="693"/>
      <c r="B16" s="203">
        <v>1200</v>
      </c>
      <c r="C16" s="204">
        <v>600</v>
      </c>
      <c r="D16" s="209">
        <v>130</v>
      </c>
      <c r="E16" s="263">
        <v>125</v>
      </c>
      <c r="F16" s="263">
        <v>18.548195631528966</v>
      </c>
      <c r="G16" s="690">
        <v>404592</v>
      </c>
      <c r="H16" s="686" t="s">
        <v>46</v>
      </c>
      <c r="I16" s="592">
        <f t="shared" si="2"/>
        <v>128.04479999999998</v>
      </c>
      <c r="J16" s="177">
        <v>384.13439999999991</v>
      </c>
      <c r="K16" s="97">
        <v>2</v>
      </c>
      <c r="L16" s="166">
        <v>1.44</v>
      </c>
      <c r="M16" s="169">
        <v>0.18719999999999998</v>
      </c>
      <c r="N16" s="97">
        <v>36</v>
      </c>
      <c r="O16" s="126">
        <v>6.7391999999999994</v>
      </c>
      <c r="P16" s="231">
        <v>74.131199999999993</v>
      </c>
      <c r="Q16" s="266"/>
      <c r="R16" s="687">
        <f t="shared" si="1"/>
        <v>758.72159999999985</v>
      </c>
      <c r="S16" s="224">
        <f t="shared" si="3"/>
        <v>4053</v>
      </c>
      <c r="T16" s="688">
        <f t="shared" si="0"/>
        <v>526.89</v>
      </c>
      <c r="U16" s="4"/>
      <c r="W16" s="649"/>
      <c r="X16" s="82"/>
    </row>
    <row r="17" spans="1:24" ht="20.100000000000001" customHeight="1" thickBot="1" x14ac:dyDescent="0.3">
      <c r="A17" s="693"/>
      <c r="B17" s="203">
        <v>1200</v>
      </c>
      <c r="C17" s="204">
        <v>600</v>
      </c>
      <c r="D17" s="209">
        <v>140</v>
      </c>
      <c r="E17" s="263">
        <v>125</v>
      </c>
      <c r="F17" s="263">
        <v>19.376240079365079</v>
      </c>
      <c r="G17" s="690">
        <v>404593</v>
      </c>
      <c r="H17" s="686" t="s">
        <v>46</v>
      </c>
      <c r="I17" s="592">
        <f t="shared" si="2"/>
        <v>129.024</v>
      </c>
      <c r="J17" s="177">
        <v>387.072</v>
      </c>
      <c r="K17" s="97">
        <v>2</v>
      </c>
      <c r="L17" s="166">
        <v>1.44</v>
      </c>
      <c r="M17" s="169">
        <v>0.2016</v>
      </c>
      <c r="N17" s="97">
        <v>32</v>
      </c>
      <c r="O17" s="126">
        <v>6.4512</v>
      </c>
      <c r="P17" s="231">
        <v>70.963200000000001</v>
      </c>
      <c r="Q17" s="266"/>
      <c r="R17" s="687">
        <f t="shared" si="1"/>
        <v>817.08479999999997</v>
      </c>
      <c r="S17" s="224">
        <f t="shared" si="3"/>
        <v>4053</v>
      </c>
      <c r="T17" s="688">
        <f t="shared" si="0"/>
        <v>567.41999999999996</v>
      </c>
      <c r="U17" s="4"/>
      <c r="W17" s="649"/>
      <c r="X17" s="82"/>
    </row>
    <row r="18" spans="1:24" ht="20.100000000000001" customHeight="1" thickBot="1" x14ac:dyDescent="0.3">
      <c r="A18" s="693"/>
      <c r="B18" s="203">
        <v>1200</v>
      </c>
      <c r="C18" s="204">
        <v>600</v>
      </c>
      <c r="D18" s="209">
        <v>150</v>
      </c>
      <c r="E18" s="263">
        <v>125</v>
      </c>
      <c r="F18" s="263">
        <v>18.08449074074074</v>
      </c>
      <c r="G18" s="690">
        <v>404594</v>
      </c>
      <c r="H18" s="686" t="s">
        <v>46</v>
      </c>
      <c r="I18" s="592">
        <f t="shared" si="2"/>
        <v>131.328</v>
      </c>
      <c r="J18" s="177">
        <v>393.98400000000004</v>
      </c>
      <c r="K18" s="97">
        <v>2</v>
      </c>
      <c r="L18" s="166">
        <v>1.44</v>
      </c>
      <c r="M18" s="169">
        <v>0.216</v>
      </c>
      <c r="N18" s="97">
        <v>32</v>
      </c>
      <c r="O18" s="126">
        <v>6.9119999999999999</v>
      </c>
      <c r="P18" s="231">
        <v>76.031999999999996</v>
      </c>
      <c r="Q18" s="266"/>
      <c r="R18" s="687">
        <f t="shared" si="1"/>
        <v>875.44799999999998</v>
      </c>
      <c r="S18" s="224">
        <f t="shared" si="3"/>
        <v>4053</v>
      </c>
      <c r="T18" s="688">
        <f t="shared" si="0"/>
        <v>607.95000000000005</v>
      </c>
      <c r="U18" s="4"/>
      <c r="W18" s="649"/>
      <c r="X18" s="82"/>
    </row>
    <row r="19" spans="1:24" ht="20.100000000000001" customHeight="1" thickBot="1" x14ac:dyDescent="0.3">
      <c r="A19" s="693"/>
      <c r="B19" s="203">
        <v>1200</v>
      </c>
      <c r="C19" s="204">
        <v>600</v>
      </c>
      <c r="D19" s="209">
        <v>160</v>
      </c>
      <c r="E19" s="263">
        <v>125</v>
      </c>
      <c r="F19" s="263">
        <v>19.376240079365083</v>
      </c>
      <c r="G19" s="690">
        <v>404595</v>
      </c>
      <c r="H19" s="686" t="s">
        <v>46</v>
      </c>
      <c r="I19" s="592">
        <f t="shared" si="2"/>
        <v>129.02399999999997</v>
      </c>
      <c r="J19" s="177">
        <v>387.07199999999989</v>
      </c>
      <c r="K19" s="97">
        <v>2</v>
      </c>
      <c r="L19" s="166">
        <v>1.44</v>
      </c>
      <c r="M19" s="169">
        <v>0.23039999999999997</v>
      </c>
      <c r="N19" s="97">
        <v>28</v>
      </c>
      <c r="O19" s="126">
        <v>6.4511999999999992</v>
      </c>
      <c r="P19" s="231">
        <v>70.963199999999986</v>
      </c>
      <c r="Q19" s="266"/>
      <c r="R19" s="687">
        <f t="shared" si="1"/>
        <v>933.81119999999987</v>
      </c>
      <c r="S19" s="224">
        <f t="shared" si="3"/>
        <v>4053</v>
      </c>
      <c r="T19" s="688">
        <f t="shared" si="0"/>
        <v>648.48</v>
      </c>
      <c r="U19" s="4"/>
      <c r="W19" s="649"/>
      <c r="X19" s="82"/>
    </row>
    <row r="20" spans="1:24" ht="20.100000000000001" customHeight="1" thickBot="1" x14ac:dyDescent="0.3">
      <c r="A20" s="693"/>
      <c r="B20" s="203">
        <v>1200</v>
      </c>
      <c r="C20" s="204">
        <v>600</v>
      </c>
      <c r="D20" s="209">
        <v>170</v>
      </c>
      <c r="E20" s="263">
        <v>125</v>
      </c>
      <c r="F20" s="263">
        <v>18.236461251167132</v>
      </c>
      <c r="G20" s="690">
        <v>404596</v>
      </c>
      <c r="H20" s="686" t="s">
        <v>46</v>
      </c>
      <c r="I20" s="592">
        <f t="shared" si="2"/>
        <v>130.2336</v>
      </c>
      <c r="J20" s="177">
        <v>390.70079999999996</v>
      </c>
      <c r="K20" s="97">
        <v>2</v>
      </c>
      <c r="L20" s="166">
        <v>1.44</v>
      </c>
      <c r="M20" s="169">
        <v>0.24479999999999999</v>
      </c>
      <c r="N20" s="97">
        <v>28</v>
      </c>
      <c r="O20" s="126">
        <v>6.8544</v>
      </c>
      <c r="P20" s="231">
        <v>75.398399999999995</v>
      </c>
      <c r="Q20" s="266"/>
      <c r="R20" s="687">
        <f t="shared" si="1"/>
        <v>992.17439999999999</v>
      </c>
      <c r="S20" s="224">
        <f t="shared" si="3"/>
        <v>4053</v>
      </c>
      <c r="T20" s="688">
        <f t="shared" si="0"/>
        <v>689.01</v>
      </c>
      <c r="U20" s="4"/>
      <c r="W20" s="649"/>
      <c r="X20" s="82"/>
    </row>
    <row r="21" spans="1:24" ht="33.75" customHeight="1" thickBot="1" x14ac:dyDescent="0.3">
      <c r="A21" s="693"/>
      <c r="B21" s="203">
        <v>1200</v>
      </c>
      <c r="C21" s="204">
        <v>600</v>
      </c>
      <c r="D21" s="209">
        <v>180</v>
      </c>
      <c r="E21" s="263">
        <v>125</v>
      </c>
      <c r="F21" s="263">
        <v>20.093878600823047</v>
      </c>
      <c r="G21" s="690">
        <v>403509</v>
      </c>
      <c r="H21" s="686" t="s">
        <v>46</v>
      </c>
      <c r="I21" s="592">
        <v>130.63679999999999</v>
      </c>
      <c r="J21" s="177">
        <v>391.91039999999998</v>
      </c>
      <c r="K21" s="97">
        <v>2</v>
      </c>
      <c r="L21" s="166">
        <v>1.44</v>
      </c>
      <c r="M21" s="169">
        <v>0.25919999999999999</v>
      </c>
      <c r="N21" s="97">
        <v>24</v>
      </c>
      <c r="O21" s="126">
        <v>6.2207999999999997</v>
      </c>
      <c r="P21" s="231">
        <v>68.428799999999995</v>
      </c>
      <c r="Q21" s="266"/>
      <c r="R21" s="687">
        <f t="shared" si="1"/>
        <v>1050.5375999999999</v>
      </c>
      <c r="S21" s="224">
        <f>S20</f>
        <v>4053</v>
      </c>
      <c r="T21" s="688">
        <v>185.66749999999993</v>
      </c>
      <c r="U21" s="4"/>
      <c r="W21" s="649"/>
      <c r="X21" s="82"/>
    </row>
    <row r="22" spans="1:24" ht="20.100000000000001" customHeight="1" thickBot="1" x14ac:dyDescent="0.3">
      <c r="A22" s="694"/>
      <c r="B22" s="203">
        <v>1200</v>
      </c>
      <c r="C22" s="204">
        <v>600</v>
      </c>
      <c r="D22" s="209">
        <v>190</v>
      </c>
      <c r="E22" s="263">
        <v>125</v>
      </c>
      <c r="F22" s="263">
        <v>19.036306042884995</v>
      </c>
      <c r="G22" s="690">
        <v>404599</v>
      </c>
      <c r="H22" s="686" t="s">
        <v>46</v>
      </c>
      <c r="I22" s="592">
        <f>J22/3</f>
        <v>137.89439999999999</v>
      </c>
      <c r="J22" s="177">
        <v>413.68319999999994</v>
      </c>
      <c r="K22" s="97">
        <v>2</v>
      </c>
      <c r="L22" s="166">
        <v>1.44</v>
      </c>
      <c r="M22" s="169">
        <v>0.27359999999999995</v>
      </c>
      <c r="N22" s="97">
        <v>24</v>
      </c>
      <c r="O22" s="126">
        <v>6.5663999999999989</v>
      </c>
      <c r="P22" s="231">
        <v>72.230399999999989</v>
      </c>
      <c r="Q22" s="266"/>
      <c r="R22" s="687">
        <f t="shared" si="1"/>
        <v>1108.9007999999999</v>
      </c>
      <c r="S22" s="224">
        <f>S21</f>
        <v>4053</v>
      </c>
      <c r="T22" s="688">
        <f t="shared" ref="T22:T31" si="4">S22*D22/1000</f>
        <v>770.07</v>
      </c>
      <c r="U22" s="4"/>
      <c r="W22" s="649"/>
      <c r="X22" s="82"/>
    </row>
    <row r="23" spans="1:24" ht="20.100000000000001" customHeight="1" thickBot="1" x14ac:dyDescent="0.3">
      <c r="A23" s="694"/>
      <c r="B23" s="240">
        <v>1200</v>
      </c>
      <c r="C23" s="241">
        <v>600</v>
      </c>
      <c r="D23" s="242">
        <v>200</v>
      </c>
      <c r="E23" s="263">
        <v>125</v>
      </c>
      <c r="F23" s="289">
        <v>18.084490740740744</v>
      </c>
      <c r="G23" s="695">
        <v>404600</v>
      </c>
      <c r="H23" s="686" t="s">
        <v>46</v>
      </c>
      <c r="I23" s="593">
        <f>J23/3</f>
        <v>145.15199999999999</v>
      </c>
      <c r="J23" s="445">
        <v>435.45599999999996</v>
      </c>
      <c r="K23" s="306">
        <v>2</v>
      </c>
      <c r="L23" s="167">
        <v>1.44</v>
      </c>
      <c r="M23" s="307">
        <v>0.28799999999999998</v>
      </c>
      <c r="N23" s="306">
        <v>24</v>
      </c>
      <c r="O23" s="129">
        <v>6.911999999999999</v>
      </c>
      <c r="P23" s="260">
        <v>76.031999999999982</v>
      </c>
      <c r="Q23" s="308"/>
      <c r="R23" s="696">
        <f t="shared" si="1"/>
        <v>1167.2639999999999</v>
      </c>
      <c r="S23" s="262">
        <f>S22</f>
        <v>4053</v>
      </c>
      <c r="T23" s="697">
        <f t="shared" si="4"/>
        <v>810.6</v>
      </c>
      <c r="U23" s="4"/>
      <c r="W23" s="649"/>
      <c r="X23" s="82"/>
    </row>
    <row r="24" spans="1:24" ht="20.100000000000001" customHeight="1" thickBot="1" x14ac:dyDescent="0.3">
      <c r="A24" s="35" t="s">
        <v>469</v>
      </c>
      <c r="B24" s="9">
        <v>1200</v>
      </c>
      <c r="C24" s="10">
        <v>600</v>
      </c>
      <c r="D24" s="11">
        <v>30</v>
      </c>
      <c r="E24" s="106"/>
      <c r="F24" s="106"/>
      <c r="G24" s="11">
        <v>455638</v>
      </c>
      <c r="H24" s="698" t="s">
        <v>46</v>
      </c>
      <c r="I24" s="699"/>
      <c r="J24" s="196"/>
      <c r="K24" s="45">
        <v>7</v>
      </c>
      <c r="L24" s="181">
        <f>B24*C24*K24/1000000</f>
        <v>5.04</v>
      </c>
      <c r="M24" s="198">
        <f>D24*L24/1000</f>
        <v>0.1512</v>
      </c>
      <c r="N24" s="45">
        <v>44</v>
      </c>
      <c r="O24" s="179">
        <f>M24*N24</f>
        <v>6.6528</v>
      </c>
      <c r="P24" s="179">
        <f>O24*11</f>
        <v>73.180800000000005</v>
      </c>
      <c r="Q24" s="46"/>
      <c r="R24" s="687" t="e">
        <f t="shared" si="1"/>
        <v>#VALUE!</v>
      </c>
      <c r="S24" s="645" t="s">
        <v>528</v>
      </c>
      <c r="T24" s="688" t="e">
        <f t="shared" si="4"/>
        <v>#VALUE!</v>
      </c>
      <c r="U24" s="4"/>
      <c r="W24" s="649"/>
      <c r="X24" s="82"/>
    </row>
    <row r="25" spans="1:24" ht="20.100000000000001" customHeight="1" thickBot="1" x14ac:dyDescent="0.3">
      <c r="A25" s="700"/>
      <c r="B25" s="203">
        <v>1200</v>
      </c>
      <c r="C25" s="204">
        <v>600</v>
      </c>
      <c r="D25" s="209">
        <v>40</v>
      </c>
      <c r="E25" s="263"/>
      <c r="F25" s="263"/>
      <c r="G25" s="209">
        <v>395408</v>
      </c>
      <c r="H25" s="686" t="s">
        <v>46</v>
      </c>
      <c r="I25" s="264"/>
      <c r="J25" s="177"/>
      <c r="K25" s="97">
        <v>6</v>
      </c>
      <c r="L25" s="166">
        <f>B25*C25*K25/1000000</f>
        <v>4.32</v>
      </c>
      <c r="M25" s="169">
        <f>D25*L25/1000</f>
        <v>0.17280000000000001</v>
      </c>
      <c r="N25" s="97">
        <v>40</v>
      </c>
      <c r="O25" s="166">
        <f>M25*N25</f>
        <v>6.9120000000000008</v>
      </c>
      <c r="P25" s="166">
        <f>O25*11</f>
        <v>76.032000000000011</v>
      </c>
      <c r="Q25" s="266"/>
      <c r="R25" s="687" t="e">
        <f t="shared" ref="R25" si="5">M25*S25</f>
        <v>#VALUE!</v>
      </c>
      <c r="S25" s="645" t="s">
        <v>528</v>
      </c>
      <c r="T25" s="688" t="e">
        <f t="shared" ref="T25" si="6">S25*D25/1000</f>
        <v>#VALUE!</v>
      </c>
      <c r="U25" s="4"/>
      <c r="W25" s="649"/>
      <c r="X25" s="82"/>
    </row>
    <row r="26" spans="1:24" ht="20.100000000000001" customHeight="1" thickBot="1" x14ac:dyDescent="0.3">
      <c r="A26" s="700"/>
      <c r="B26" s="203">
        <v>1200</v>
      </c>
      <c r="C26" s="204">
        <v>600</v>
      </c>
      <c r="D26" s="209">
        <v>50</v>
      </c>
      <c r="E26" s="263"/>
      <c r="F26" s="263"/>
      <c r="G26" s="209">
        <v>39559</v>
      </c>
      <c r="H26" s="686" t="s">
        <v>239</v>
      </c>
      <c r="I26" s="264"/>
      <c r="J26" s="177"/>
      <c r="K26" s="97">
        <v>6</v>
      </c>
      <c r="L26" s="166">
        <v>4.32</v>
      </c>
      <c r="M26" s="169">
        <v>0.216</v>
      </c>
      <c r="N26" s="97">
        <v>32</v>
      </c>
      <c r="O26" s="166">
        <v>6.9119999999999999</v>
      </c>
      <c r="P26" s="166">
        <v>76.031999999999996</v>
      </c>
      <c r="Q26" s="266"/>
      <c r="R26" s="687">
        <f t="shared" si="1"/>
        <v>968.11199999999997</v>
      </c>
      <c r="S26" s="645">
        <v>4482</v>
      </c>
      <c r="T26" s="688">
        <f t="shared" si="4"/>
        <v>224.1</v>
      </c>
      <c r="U26" s="4"/>
      <c r="W26" s="649"/>
      <c r="X26" s="82"/>
    </row>
    <row r="27" spans="1:24" ht="24.95" customHeight="1" thickBot="1" x14ac:dyDescent="0.3">
      <c r="A27" s="700" t="s">
        <v>470</v>
      </c>
      <c r="B27" s="203">
        <v>1200</v>
      </c>
      <c r="C27" s="204">
        <v>600</v>
      </c>
      <c r="D27" s="209">
        <v>60</v>
      </c>
      <c r="E27" s="263"/>
      <c r="F27" s="263"/>
      <c r="G27" s="209">
        <v>404601</v>
      </c>
      <c r="H27" s="686" t="s">
        <v>239</v>
      </c>
      <c r="I27" s="264"/>
      <c r="J27" s="177"/>
      <c r="K27" s="97">
        <v>4</v>
      </c>
      <c r="L27" s="166">
        <v>2.8800000000000003</v>
      </c>
      <c r="M27" s="169">
        <v>0.17280000000000001</v>
      </c>
      <c r="N27" s="97">
        <v>40</v>
      </c>
      <c r="O27" s="166">
        <v>6.9120000000000008</v>
      </c>
      <c r="P27" s="166">
        <v>76.032000000000011</v>
      </c>
      <c r="Q27" s="266"/>
      <c r="R27" s="687">
        <f t="shared" si="1"/>
        <v>774.4896</v>
      </c>
      <c r="S27" s="645">
        <f>S26</f>
        <v>4482</v>
      </c>
      <c r="T27" s="688">
        <f t="shared" si="4"/>
        <v>268.92</v>
      </c>
      <c r="U27" s="4"/>
      <c r="W27" s="649"/>
      <c r="X27" s="82"/>
    </row>
    <row r="28" spans="1:24" ht="24.95" customHeight="1" thickBot="1" x14ac:dyDescent="0.3">
      <c r="A28" s="822"/>
      <c r="B28" s="203">
        <v>1200</v>
      </c>
      <c r="C28" s="204">
        <v>600</v>
      </c>
      <c r="D28" s="209">
        <v>70</v>
      </c>
      <c r="E28" s="263"/>
      <c r="F28" s="263"/>
      <c r="G28" s="209">
        <v>404602</v>
      </c>
      <c r="H28" s="686" t="s">
        <v>46</v>
      </c>
      <c r="I28" s="592">
        <f>J28/3</f>
        <v>96.767999999999986</v>
      </c>
      <c r="J28" s="177">
        <v>290.30399999999997</v>
      </c>
      <c r="K28" s="97">
        <v>4</v>
      </c>
      <c r="L28" s="166">
        <v>2.8800000000000003</v>
      </c>
      <c r="M28" s="169">
        <v>0.2016</v>
      </c>
      <c r="N28" s="97">
        <v>32</v>
      </c>
      <c r="O28" s="166">
        <v>6.4512</v>
      </c>
      <c r="P28" s="166">
        <v>70.963200000000001</v>
      </c>
      <c r="Q28" s="266"/>
      <c r="R28" s="687">
        <f t="shared" si="1"/>
        <v>903.57119999999998</v>
      </c>
      <c r="S28" s="645">
        <f t="shared" ref="S28:S39" si="7">S27</f>
        <v>4482</v>
      </c>
      <c r="T28" s="688">
        <f t="shared" si="4"/>
        <v>313.74</v>
      </c>
      <c r="U28" s="4"/>
      <c r="W28" s="649"/>
      <c r="X28" s="82"/>
    </row>
    <row r="29" spans="1:24" ht="24.95" customHeight="1" thickBot="1" x14ac:dyDescent="0.3">
      <c r="A29" s="822"/>
      <c r="B29" s="203">
        <v>1200</v>
      </c>
      <c r="C29" s="204">
        <v>600</v>
      </c>
      <c r="D29" s="209">
        <v>90</v>
      </c>
      <c r="E29" s="263">
        <v>100</v>
      </c>
      <c r="F29" s="263">
        <v>16.075102880658438</v>
      </c>
      <c r="G29" s="209">
        <v>404603</v>
      </c>
      <c r="H29" s="686" t="s">
        <v>239</v>
      </c>
      <c r="I29" s="592">
        <f>J29/3</f>
        <v>105.75359999999999</v>
      </c>
      <c r="J29" s="177">
        <v>317.26079999999996</v>
      </c>
      <c r="K29" s="97">
        <v>3</v>
      </c>
      <c r="L29" s="166">
        <v>2.16</v>
      </c>
      <c r="M29" s="169">
        <v>0.19439999999999999</v>
      </c>
      <c r="N29" s="97">
        <v>32</v>
      </c>
      <c r="O29" s="166">
        <v>6.2207999999999997</v>
      </c>
      <c r="P29" s="166">
        <v>68.428799999999995</v>
      </c>
      <c r="Q29" s="266"/>
      <c r="R29" s="687">
        <f t="shared" si="1"/>
        <v>871.30079999999998</v>
      </c>
      <c r="S29" s="645">
        <f t="shared" si="7"/>
        <v>4482</v>
      </c>
      <c r="T29" s="688">
        <f t="shared" si="4"/>
        <v>403.38</v>
      </c>
      <c r="U29" s="4"/>
      <c r="W29" s="649"/>
      <c r="X29" s="82"/>
    </row>
    <row r="30" spans="1:24" ht="20.100000000000001" customHeight="1" thickBot="1" x14ac:dyDescent="0.3">
      <c r="A30" s="701"/>
      <c r="B30" s="203">
        <v>1200</v>
      </c>
      <c r="C30" s="204">
        <v>600</v>
      </c>
      <c r="D30" s="209">
        <v>80</v>
      </c>
      <c r="E30" s="263">
        <v>100</v>
      </c>
      <c r="F30" s="263">
        <v>14.467592592592592</v>
      </c>
      <c r="G30" s="209">
        <v>332336</v>
      </c>
      <c r="H30" s="686" t="s">
        <v>46</v>
      </c>
      <c r="I30" s="592"/>
      <c r="J30" s="177"/>
      <c r="K30" s="97">
        <v>3</v>
      </c>
      <c r="L30" s="166">
        <v>2.16</v>
      </c>
      <c r="M30" s="169">
        <v>0.17280000000000001</v>
      </c>
      <c r="N30" s="97">
        <v>40</v>
      </c>
      <c r="O30" s="166">
        <v>6.9120000000000008</v>
      </c>
      <c r="P30" s="166">
        <v>76.032000000000011</v>
      </c>
      <c r="Q30" s="266"/>
      <c r="R30" s="687">
        <f t="shared" si="1"/>
        <v>774.4896</v>
      </c>
      <c r="S30" s="645">
        <f t="shared" si="7"/>
        <v>4482</v>
      </c>
      <c r="T30" s="688">
        <f t="shared" si="4"/>
        <v>358.56</v>
      </c>
      <c r="U30" s="4"/>
      <c r="W30" s="649"/>
      <c r="X30" s="82"/>
    </row>
    <row r="31" spans="1:24" ht="20.100000000000001" customHeight="1" thickBot="1" x14ac:dyDescent="0.3">
      <c r="A31" s="701"/>
      <c r="B31" s="203">
        <v>1200</v>
      </c>
      <c r="C31" s="204">
        <v>600</v>
      </c>
      <c r="D31" s="209">
        <v>100</v>
      </c>
      <c r="E31" s="263"/>
      <c r="F31" s="263">
        <v>0</v>
      </c>
      <c r="G31" s="209">
        <v>366758</v>
      </c>
      <c r="H31" s="686" t="s">
        <v>239</v>
      </c>
      <c r="I31" s="592"/>
      <c r="J31" s="177"/>
      <c r="K31" s="97">
        <v>3</v>
      </c>
      <c r="L31" s="166">
        <v>2.16</v>
      </c>
      <c r="M31" s="169">
        <v>0.216</v>
      </c>
      <c r="N31" s="97">
        <v>32</v>
      </c>
      <c r="O31" s="166">
        <v>6.9119999999999999</v>
      </c>
      <c r="P31" s="166">
        <v>76.031999999999996</v>
      </c>
      <c r="Q31" s="266"/>
      <c r="R31" s="687">
        <f t="shared" si="1"/>
        <v>968.11199999999997</v>
      </c>
      <c r="S31" s="645">
        <f t="shared" si="7"/>
        <v>4482</v>
      </c>
      <c r="T31" s="688">
        <f t="shared" si="4"/>
        <v>448.2</v>
      </c>
      <c r="U31" s="4"/>
      <c r="W31" s="649"/>
      <c r="X31" s="82"/>
    </row>
    <row r="32" spans="1:24" ht="20.100000000000001" customHeight="1" thickBot="1" x14ac:dyDescent="0.3">
      <c r="A32" s="701"/>
      <c r="B32" s="203">
        <v>1200</v>
      </c>
      <c r="C32" s="204">
        <v>600</v>
      </c>
      <c r="D32" s="209">
        <v>110</v>
      </c>
      <c r="E32" s="263">
        <v>100</v>
      </c>
      <c r="F32" s="263">
        <v>15.031265031265031</v>
      </c>
      <c r="G32" s="209">
        <v>396992</v>
      </c>
      <c r="H32" s="686" t="s">
        <v>239</v>
      </c>
      <c r="I32" s="592">
        <v>106.4448</v>
      </c>
      <c r="J32" s="177">
        <v>319.33440000000002</v>
      </c>
      <c r="K32" s="97">
        <v>3</v>
      </c>
      <c r="L32" s="166">
        <v>2.16</v>
      </c>
      <c r="M32" s="169">
        <v>0.23760000000000001</v>
      </c>
      <c r="N32" s="97">
        <v>28</v>
      </c>
      <c r="O32" s="166">
        <v>6.6528</v>
      </c>
      <c r="P32" s="166">
        <v>73.180800000000005</v>
      </c>
      <c r="Q32" s="266"/>
      <c r="R32" s="687">
        <v>1034.5104000000001</v>
      </c>
      <c r="S32" s="645">
        <f t="shared" si="7"/>
        <v>4482</v>
      </c>
      <c r="T32" s="688">
        <v>478.94</v>
      </c>
      <c r="U32" s="4"/>
      <c r="W32" s="649"/>
      <c r="X32" s="82"/>
    </row>
    <row r="33" spans="1:24" ht="24.95" customHeight="1" thickBot="1" x14ac:dyDescent="0.3">
      <c r="A33" s="701"/>
      <c r="B33" s="203">
        <v>1200</v>
      </c>
      <c r="C33" s="204">
        <v>600</v>
      </c>
      <c r="D33" s="209">
        <v>120</v>
      </c>
      <c r="E33" s="263">
        <v>100</v>
      </c>
      <c r="F33" s="263">
        <v>14.467592592592592</v>
      </c>
      <c r="G33" s="209">
        <v>404607</v>
      </c>
      <c r="H33" s="686" t="s">
        <v>239</v>
      </c>
      <c r="I33" s="592">
        <f>J33/3</f>
        <v>110.59200000000003</v>
      </c>
      <c r="J33" s="177">
        <v>331.77600000000007</v>
      </c>
      <c r="K33" s="97">
        <v>2</v>
      </c>
      <c r="L33" s="166">
        <v>1.4400000000000002</v>
      </c>
      <c r="M33" s="169">
        <v>0.17280000000000001</v>
      </c>
      <c r="N33" s="97">
        <v>40</v>
      </c>
      <c r="O33" s="166">
        <v>6.9120000000000008</v>
      </c>
      <c r="P33" s="166">
        <v>76.032000000000011</v>
      </c>
      <c r="Q33" s="266"/>
      <c r="R33" s="687">
        <f>M33*S33</f>
        <v>774.4896</v>
      </c>
      <c r="S33" s="645">
        <f t="shared" si="7"/>
        <v>4482</v>
      </c>
      <c r="T33" s="688">
        <f>S33*D33/1000</f>
        <v>537.84</v>
      </c>
      <c r="U33" s="4"/>
      <c r="W33" s="649"/>
      <c r="X33" s="82"/>
    </row>
    <row r="34" spans="1:24" ht="24.95" customHeight="1" thickBot="1" x14ac:dyDescent="0.3">
      <c r="A34" s="701"/>
      <c r="B34" s="203">
        <v>1200</v>
      </c>
      <c r="C34" s="204">
        <v>600</v>
      </c>
      <c r="D34" s="209">
        <v>130</v>
      </c>
      <c r="E34" s="263">
        <v>100</v>
      </c>
      <c r="F34" s="263">
        <v>14.83855650522317</v>
      </c>
      <c r="G34" s="209">
        <v>404613</v>
      </c>
      <c r="H34" s="686" t="s">
        <v>46</v>
      </c>
      <c r="I34" s="592">
        <f>J34/3</f>
        <v>107.8272</v>
      </c>
      <c r="J34" s="177">
        <v>323.48160000000001</v>
      </c>
      <c r="K34" s="97">
        <v>2</v>
      </c>
      <c r="L34" s="166">
        <v>1.4400000000000002</v>
      </c>
      <c r="M34" s="169">
        <v>0.18720000000000001</v>
      </c>
      <c r="N34" s="97">
        <v>36</v>
      </c>
      <c r="O34" s="166">
        <v>6.7392000000000003</v>
      </c>
      <c r="P34" s="166">
        <v>74.131200000000007</v>
      </c>
      <c r="Q34" s="266"/>
      <c r="R34" s="687">
        <f>M34*S34</f>
        <v>839.03039999999999</v>
      </c>
      <c r="S34" s="645">
        <f t="shared" si="7"/>
        <v>4482</v>
      </c>
      <c r="T34" s="688">
        <f>S34*D34/1000</f>
        <v>582.66</v>
      </c>
      <c r="U34" s="4"/>
      <c r="W34" s="649"/>
      <c r="X34" s="82"/>
    </row>
    <row r="35" spans="1:24" ht="24.95" customHeight="1" thickBot="1" x14ac:dyDescent="0.3">
      <c r="A35" s="701"/>
      <c r="B35" s="203">
        <v>1200</v>
      </c>
      <c r="C35" s="204">
        <v>600</v>
      </c>
      <c r="D35" s="209">
        <v>140</v>
      </c>
      <c r="E35" s="263">
        <v>100</v>
      </c>
      <c r="F35" s="263">
        <v>15.500992063492063</v>
      </c>
      <c r="G35" s="209">
        <v>404614</v>
      </c>
      <c r="H35" s="686" t="s">
        <v>46</v>
      </c>
      <c r="I35" s="592">
        <f>J35/3</f>
        <v>103.2192</v>
      </c>
      <c r="J35" s="177">
        <v>309.6576</v>
      </c>
      <c r="K35" s="97">
        <v>2</v>
      </c>
      <c r="L35" s="166">
        <v>1.4400000000000002</v>
      </c>
      <c r="M35" s="169">
        <v>0.2016</v>
      </c>
      <c r="N35" s="97">
        <v>32</v>
      </c>
      <c r="O35" s="166">
        <v>6.4512</v>
      </c>
      <c r="P35" s="166">
        <v>70.963200000000001</v>
      </c>
      <c r="Q35" s="266"/>
      <c r="R35" s="687">
        <f>M35*S35</f>
        <v>903.57119999999998</v>
      </c>
      <c r="S35" s="645">
        <f t="shared" si="7"/>
        <v>4482</v>
      </c>
      <c r="T35" s="688">
        <f>S35*D35/1000</f>
        <v>627.48</v>
      </c>
      <c r="U35" s="4"/>
      <c r="W35" s="649"/>
      <c r="X35" s="82"/>
    </row>
    <row r="36" spans="1:24" ht="20.100000000000001" customHeight="1" thickBot="1" x14ac:dyDescent="0.3">
      <c r="A36" s="701"/>
      <c r="B36" s="203">
        <v>1200</v>
      </c>
      <c r="C36" s="204">
        <v>600</v>
      </c>
      <c r="D36" s="209">
        <v>150</v>
      </c>
      <c r="E36" s="263">
        <v>100</v>
      </c>
      <c r="F36" s="263">
        <v>14.467592592592593</v>
      </c>
      <c r="G36" s="209">
        <v>398624</v>
      </c>
      <c r="H36" s="686" t="s">
        <v>46</v>
      </c>
      <c r="I36" s="592">
        <v>110.592</v>
      </c>
      <c r="J36" s="177">
        <v>331.77600000000001</v>
      </c>
      <c r="K36" s="97">
        <v>2</v>
      </c>
      <c r="L36" s="166">
        <v>1.4400000000000002</v>
      </c>
      <c r="M36" s="169">
        <v>0.216</v>
      </c>
      <c r="N36" s="97">
        <v>32</v>
      </c>
      <c r="O36" s="166">
        <v>6.9119999999999999</v>
      </c>
      <c r="P36" s="166">
        <v>76.031999999999996</v>
      </c>
      <c r="Q36" s="266"/>
      <c r="R36" s="687">
        <v>940.46399999999994</v>
      </c>
      <c r="S36" s="645">
        <f t="shared" si="7"/>
        <v>4482</v>
      </c>
      <c r="T36" s="688">
        <v>653.1</v>
      </c>
      <c r="U36" s="4"/>
      <c r="W36" s="649"/>
      <c r="X36" s="82"/>
    </row>
    <row r="37" spans="1:24" ht="24.95" customHeight="1" thickBot="1" x14ac:dyDescent="0.3">
      <c r="A37" s="701"/>
      <c r="B37" s="203">
        <v>1200</v>
      </c>
      <c r="C37" s="204">
        <v>600</v>
      </c>
      <c r="D37" s="209">
        <v>160</v>
      </c>
      <c r="E37" s="263">
        <v>100</v>
      </c>
      <c r="F37" s="263">
        <v>15.500992063492063</v>
      </c>
      <c r="G37" s="209">
        <v>404616</v>
      </c>
      <c r="H37" s="686" t="s">
        <v>46</v>
      </c>
      <c r="I37" s="592">
        <f>J37/3</f>
        <v>103.2192</v>
      </c>
      <c r="J37" s="177">
        <v>309.6576</v>
      </c>
      <c r="K37" s="97">
        <v>2</v>
      </c>
      <c r="L37" s="166">
        <v>1.44</v>
      </c>
      <c r="M37" s="169">
        <v>0.23039999999999999</v>
      </c>
      <c r="N37" s="97">
        <v>28</v>
      </c>
      <c r="O37" s="166">
        <v>6.4512</v>
      </c>
      <c r="P37" s="166">
        <v>70.963200000000001</v>
      </c>
      <c r="Q37" s="266"/>
      <c r="R37" s="687">
        <f>M37*S37</f>
        <v>1032.6528000000001</v>
      </c>
      <c r="S37" s="645">
        <f t="shared" si="7"/>
        <v>4482</v>
      </c>
      <c r="T37" s="688">
        <f>S37*D37/1000</f>
        <v>717.12</v>
      </c>
      <c r="U37" s="4"/>
      <c r="W37" s="649"/>
      <c r="X37" s="82"/>
    </row>
    <row r="38" spans="1:24" ht="20.100000000000001" customHeight="1" thickBot="1" x14ac:dyDescent="0.3">
      <c r="A38" s="701"/>
      <c r="B38" s="203">
        <v>1200</v>
      </c>
      <c r="C38" s="204">
        <v>600</v>
      </c>
      <c r="D38" s="209">
        <v>170</v>
      </c>
      <c r="E38" s="263">
        <v>100</v>
      </c>
      <c r="F38" s="263">
        <v>14.589169000933706</v>
      </c>
      <c r="G38" s="209">
        <v>372626</v>
      </c>
      <c r="H38" s="686" t="s">
        <v>46</v>
      </c>
      <c r="I38" s="592">
        <v>109.67040000000001</v>
      </c>
      <c r="J38" s="177">
        <v>329.01120000000003</v>
      </c>
      <c r="K38" s="97">
        <v>2</v>
      </c>
      <c r="L38" s="166">
        <v>1.44</v>
      </c>
      <c r="M38" s="169">
        <v>0.24479999999999999</v>
      </c>
      <c r="N38" s="97">
        <v>28</v>
      </c>
      <c r="O38" s="166">
        <v>6.8544</v>
      </c>
      <c r="P38" s="166">
        <v>75.398399999999995</v>
      </c>
      <c r="Q38" s="266"/>
      <c r="R38" s="687">
        <v>1065.8591999999999</v>
      </c>
      <c r="S38" s="645">
        <f t="shared" si="7"/>
        <v>4482</v>
      </c>
      <c r="T38" s="688">
        <v>740.18</v>
      </c>
      <c r="U38" s="4"/>
      <c r="W38" s="649"/>
      <c r="X38" s="82"/>
    </row>
    <row r="39" spans="1:24" ht="20.100000000000001" customHeight="1" thickBot="1" x14ac:dyDescent="0.3">
      <c r="A39" s="701"/>
      <c r="B39" s="240">
        <v>1200</v>
      </c>
      <c r="C39" s="241">
        <v>600</v>
      </c>
      <c r="D39" s="242">
        <v>180</v>
      </c>
      <c r="E39" s="289">
        <v>100</v>
      </c>
      <c r="F39" s="289">
        <v>16.075102880658438</v>
      </c>
      <c r="G39" s="242">
        <v>404619</v>
      </c>
      <c r="H39" s="702" t="s">
        <v>46</v>
      </c>
      <c r="I39" s="593">
        <f>J39/3</f>
        <v>99.532799999999995</v>
      </c>
      <c r="J39" s="455">
        <v>298.59839999999997</v>
      </c>
      <c r="K39" s="306">
        <v>2</v>
      </c>
      <c r="L39" s="167">
        <v>1.44</v>
      </c>
      <c r="M39" s="307">
        <v>0.25919999999999999</v>
      </c>
      <c r="N39" s="306">
        <v>24</v>
      </c>
      <c r="O39" s="167">
        <v>6.2207999999999997</v>
      </c>
      <c r="P39" s="167">
        <v>68.428799999999995</v>
      </c>
      <c r="Q39" s="308"/>
      <c r="R39" s="703">
        <f>M39*S39</f>
        <v>1161.7344000000001</v>
      </c>
      <c r="S39" s="645">
        <f t="shared" si="7"/>
        <v>4482</v>
      </c>
      <c r="T39" s="705">
        <f>S39*D39/1000</f>
        <v>806.76</v>
      </c>
      <c r="U39" s="4"/>
      <c r="W39" s="649"/>
      <c r="X39" s="82"/>
    </row>
    <row r="40" spans="1:24" ht="20.100000000000001" hidden="1" customHeight="1" thickBot="1" x14ac:dyDescent="0.3">
      <c r="A40" s="701"/>
      <c r="B40" s="249">
        <v>1200</v>
      </c>
      <c r="C40" s="287">
        <v>600</v>
      </c>
      <c r="D40" s="288">
        <v>190</v>
      </c>
      <c r="E40" s="319">
        <v>100</v>
      </c>
      <c r="F40" s="319">
        <v>15.229044834307993</v>
      </c>
      <c r="G40" s="288" t="s">
        <v>261</v>
      </c>
      <c r="H40" s="706" t="s">
        <v>46</v>
      </c>
      <c r="I40" s="594">
        <f>J40/3</f>
        <v>105.06239999999998</v>
      </c>
      <c r="J40" s="178">
        <v>315.18719999999996</v>
      </c>
      <c r="K40" s="320">
        <v>2</v>
      </c>
      <c r="L40" s="168">
        <v>1.4400000000000002</v>
      </c>
      <c r="M40" s="265">
        <v>0.27360000000000001</v>
      </c>
      <c r="N40" s="320">
        <v>24</v>
      </c>
      <c r="O40" s="168">
        <v>6.5663999999999998</v>
      </c>
      <c r="P40" s="168">
        <v>72.230400000000003</v>
      </c>
      <c r="Q40" s="612"/>
      <c r="R40" s="687">
        <f>M40*S40</f>
        <v>1191.2544</v>
      </c>
      <c r="S40" s="645">
        <v>4354</v>
      </c>
      <c r="T40" s="688">
        <f>S40*D40/1000</f>
        <v>827.26</v>
      </c>
      <c r="U40" s="4"/>
      <c r="W40" s="649"/>
      <c r="X40" s="82"/>
    </row>
    <row r="41" spans="1:24" ht="20.100000000000001" hidden="1" customHeight="1" thickBot="1" x14ac:dyDescent="0.3">
      <c r="A41" s="707"/>
      <c r="B41" s="240">
        <v>1200</v>
      </c>
      <c r="C41" s="241">
        <v>600</v>
      </c>
      <c r="D41" s="242">
        <v>200</v>
      </c>
      <c r="E41" s="289">
        <v>100</v>
      </c>
      <c r="F41" s="289">
        <v>14.467592592592595</v>
      </c>
      <c r="G41" s="242" t="s">
        <v>262</v>
      </c>
      <c r="H41" s="702" t="s">
        <v>46</v>
      </c>
      <c r="I41" s="593">
        <f>J41/3</f>
        <v>110.59199999999998</v>
      </c>
      <c r="J41" s="455">
        <v>331.77599999999995</v>
      </c>
      <c r="K41" s="306">
        <v>2</v>
      </c>
      <c r="L41" s="167">
        <v>1.44</v>
      </c>
      <c r="M41" s="307">
        <v>0.28799999999999998</v>
      </c>
      <c r="N41" s="306">
        <v>24</v>
      </c>
      <c r="O41" s="167">
        <v>6.911999999999999</v>
      </c>
      <c r="P41" s="167">
        <v>76.031999999999982</v>
      </c>
      <c r="Q41" s="308"/>
      <c r="R41" s="696">
        <f>M41*S41</f>
        <v>1253.952</v>
      </c>
      <c r="S41" s="704">
        <v>4354</v>
      </c>
      <c r="T41" s="697">
        <f>S41*D41/1000</f>
        <v>870.8</v>
      </c>
      <c r="U41" s="4"/>
      <c r="W41" s="649"/>
      <c r="X41" s="82"/>
    </row>
    <row r="42" spans="1:24" ht="20.100000000000001" customHeight="1" thickBot="1" x14ac:dyDescent="0.3">
      <c r="A42" s="35" t="s">
        <v>471</v>
      </c>
      <c r="B42" s="252">
        <v>1200</v>
      </c>
      <c r="C42" s="250">
        <v>600</v>
      </c>
      <c r="D42" s="251">
        <v>40</v>
      </c>
      <c r="E42" s="277"/>
      <c r="F42" s="278"/>
      <c r="G42" s="251">
        <v>387498</v>
      </c>
      <c r="H42" s="686" t="s">
        <v>339</v>
      </c>
      <c r="I42" s="594"/>
      <c r="J42" s="280"/>
      <c r="K42" s="281">
        <v>5</v>
      </c>
      <c r="L42" s="282">
        <v>3.6</v>
      </c>
      <c r="M42" s="283">
        <v>0.14399999999999999</v>
      </c>
      <c r="N42" s="284">
        <v>44</v>
      </c>
      <c r="O42" s="282">
        <v>6.3359999999999994</v>
      </c>
      <c r="P42" s="282">
        <v>69.695999999999998</v>
      </c>
      <c r="Q42" s="285"/>
      <c r="R42" s="687">
        <f>M42*S42</f>
        <v>1074.528</v>
      </c>
      <c r="S42" s="646">
        <v>7462</v>
      </c>
      <c r="T42" s="688">
        <f>S42*D42/1000</f>
        <v>298.48</v>
      </c>
      <c r="U42" s="4"/>
      <c r="W42" s="649"/>
      <c r="X42" s="82"/>
    </row>
    <row r="43" spans="1:24" ht="20.100000000000001" customHeight="1" thickBot="1" x14ac:dyDescent="0.3">
      <c r="A43" s="708"/>
      <c r="B43" s="203">
        <v>1200</v>
      </c>
      <c r="C43" s="287">
        <v>600</v>
      </c>
      <c r="D43" s="288">
        <v>50</v>
      </c>
      <c r="E43" s="289"/>
      <c r="F43" s="263"/>
      <c r="G43" s="288">
        <v>354766</v>
      </c>
      <c r="H43" s="686" t="s">
        <v>46</v>
      </c>
      <c r="I43" s="592"/>
      <c r="J43" s="291"/>
      <c r="K43" s="97">
        <v>5</v>
      </c>
      <c r="L43" s="166">
        <v>3.6</v>
      </c>
      <c r="M43" s="126">
        <v>0.18</v>
      </c>
      <c r="N43" s="127">
        <v>36</v>
      </c>
      <c r="O43" s="166">
        <v>6.4799999999999995</v>
      </c>
      <c r="P43" s="166">
        <v>71.28</v>
      </c>
      <c r="Q43" s="266"/>
      <c r="R43" s="687">
        <f>M43*S43</f>
        <v>1343.1599999999999</v>
      </c>
      <c r="S43" s="124">
        <f>S42</f>
        <v>7462</v>
      </c>
      <c r="T43" s="688">
        <f>S43*D43/1000</f>
        <v>373.1</v>
      </c>
      <c r="U43" s="4"/>
      <c r="W43" s="649"/>
      <c r="X43" s="82"/>
    </row>
    <row r="44" spans="1:24" ht="20.100000000000001" customHeight="1" thickBot="1" x14ac:dyDescent="0.3">
      <c r="A44" s="709" t="s">
        <v>472</v>
      </c>
      <c r="B44" s="292"/>
      <c r="C44" s="293"/>
      <c r="D44" s="294"/>
      <c r="E44" s="289"/>
      <c r="F44" s="289"/>
      <c r="G44" s="294"/>
      <c r="H44" s="702"/>
      <c r="I44" s="593"/>
      <c r="J44" s="297"/>
      <c r="K44" s="298"/>
      <c r="L44" s="299"/>
      <c r="M44" s="300"/>
      <c r="N44" s="301"/>
      <c r="O44" s="299"/>
      <c r="P44" s="299"/>
      <c r="Q44" s="302"/>
      <c r="R44" s="303"/>
      <c r="S44" s="304"/>
      <c r="T44" s="710"/>
      <c r="U44" s="4"/>
      <c r="W44" s="649"/>
      <c r="X44" s="82"/>
    </row>
    <row r="45" spans="1:24" ht="20.100000000000001" hidden="1" customHeight="1" x14ac:dyDescent="0.25">
      <c r="A45" s="1284"/>
      <c r="B45" s="450">
        <v>1200</v>
      </c>
      <c r="C45" s="451">
        <v>600</v>
      </c>
      <c r="D45" s="452">
        <v>160</v>
      </c>
      <c r="E45" s="112">
        <v>74.074074074074076</v>
      </c>
      <c r="F45" s="711">
        <v>11.482216343327455</v>
      </c>
      <c r="G45" s="712" t="s">
        <v>244</v>
      </c>
      <c r="H45" s="113" t="s">
        <v>46</v>
      </c>
      <c r="I45" s="712"/>
      <c r="J45" s="178">
        <v>212.8896</v>
      </c>
      <c r="K45" s="453">
        <v>2</v>
      </c>
      <c r="L45" s="188">
        <v>1.44</v>
      </c>
      <c r="M45" s="190">
        <v>0.23039999999999999</v>
      </c>
      <c r="N45" s="453">
        <v>28</v>
      </c>
      <c r="O45" s="190">
        <v>6.4512</v>
      </c>
      <c r="P45" s="191">
        <v>70.963200000000001</v>
      </c>
      <c r="Q45" s="55"/>
      <c r="R45" s="687">
        <f>M45*S45</f>
        <v>1060.992</v>
      </c>
      <c r="S45" s="441">
        <v>4605</v>
      </c>
      <c r="T45" s="713">
        <v>651.54399999999998</v>
      </c>
    </row>
    <row r="46" spans="1:24" ht="20.100000000000001" hidden="1" customHeight="1" x14ac:dyDescent="0.25">
      <c r="A46" s="1246"/>
      <c r="B46" s="12">
        <v>1200</v>
      </c>
      <c r="C46" s="13">
        <v>600</v>
      </c>
      <c r="D46" s="14">
        <v>170</v>
      </c>
      <c r="E46" s="107">
        <v>74.074074074074076</v>
      </c>
      <c r="F46" s="714">
        <v>10.806791852543487</v>
      </c>
      <c r="G46" s="715" t="s">
        <v>245</v>
      </c>
      <c r="H46" s="61" t="s">
        <v>46</v>
      </c>
      <c r="I46" s="715"/>
      <c r="J46" s="177">
        <v>226.1952</v>
      </c>
      <c r="K46" s="47">
        <v>2</v>
      </c>
      <c r="L46" s="188">
        <v>1.44</v>
      </c>
      <c r="M46" s="182">
        <v>0.24479999999999999</v>
      </c>
      <c r="N46" s="47">
        <v>28</v>
      </c>
      <c r="O46" s="182">
        <v>6.8544</v>
      </c>
      <c r="P46" s="192">
        <v>75.398399999999995</v>
      </c>
      <c r="Q46" s="48"/>
      <c r="R46" s="687">
        <f>M46*S46</f>
        <v>1127.3039999999999</v>
      </c>
      <c r="S46" s="100">
        <v>4605</v>
      </c>
      <c r="T46" s="716">
        <v>692.26549999999986</v>
      </c>
    </row>
    <row r="47" spans="1:24" ht="20.100000000000001" hidden="1" customHeight="1" x14ac:dyDescent="0.25">
      <c r="A47" s="1246"/>
      <c r="B47" s="717">
        <v>1200</v>
      </c>
      <c r="C47" s="718">
        <v>600</v>
      </c>
      <c r="D47" s="719">
        <v>180</v>
      </c>
      <c r="E47" s="720">
        <v>74.074074074074076</v>
      </c>
      <c r="F47" s="720">
        <v>11.907483615302546</v>
      </c>
      <c r="G47" s="721" t="s">
        <v>162</v>
      </c>
      <c r="H47" s="722" t="s">
        <v>46</v>
      </c>
      <c r="I47" s="721"/>
      <c r="J47" s="723">
        <v>205.28639999999999</v>
      </c>
      <c r="K47" s="724">
        <v>2</v>
      </c>
      <c r="L47" s="725">
        <v>1.44</v>
      </c>
      <c r="M47" s="726">
        <v>0.25919999999999999</v>
      </c>
      <c r="N47" s="724">
        <v>24</v>
      </c>
      <c r="O47" s="726">
        <v>6.2207999999999997</v>
      </c>
      <c r="P47" s="727">
        <v>68.428799999999995</v>
      </c>
      <c r="Q47" s="728"/>
      <c r="R47" s="687">
        <f>M47*S47</f>
        <v>1193.616</v>
      </c>
      <c r="S47" s="729">
        <v>4605</v>
      </c>
      <c r="T47" s="730">
        <v>732.98699999999985</v>
      </c>
    </row>
    <row r="48" spans="1:24" ht="20.100000000000001" hidden="1" customHeight="1" x14ac:dyDescent="0.25">
      <c r="A48" s="1246"/>
      <c r="B48" s="12">
        <v>1200</v>
      </c>
      <c r="C48" s="13">
        <v>600</v>
      </c>
      <c r="D48" s="14">
        <v>190</v>
      </c>
      <c r="E48" s="107">
        <v>74.074074074074076</v>
      </c>
      <c r="F48" s="714">
        <v>11.280773951339254</v>
      </c>
      <c r="G48" s="715" t="s">
        <v>246</v>
      </c>
      <c r="H48" s="61" t="s">
        <v>46</v>
      </c>
      <c r="I48" s="715"/>
      <c r="J48" s="177">
        <v>216.69120000000001</v>
      </c>
      <c r="K48" s="47">
        <v>2</v>
      </c>
      <c r="L48" s="188">
        <v>1.4400000000000002</v>
      </c>
      <c r="M48" s="182">
        <v>0.27360000000000001</v>
      </c>
      <c r="N48" s="47">
        <v>24</v>
      </c>
      <c r="O48" s="182">
        <v>6.5663999999999998</v>
      </c>
      <c r="P48" s="192">
        <v>72.230400000000003</v>
      </c>
      <c r="Q48" s="48"/>
      <c r="R48" s="687">
        <f>M48*S48</f>
        <v>1259.9280000000001</v>
      </c>
      <c r="S48" s="100">
        <v>4605</v>
      </c>
      <c r="T48" s="731">
        <v>773.70849999999984</v>
      </c>
    </row>
    <row r="49" spans="1:20" ht="20.100000000000001" hidden="1" customHeight="1" x14ac:dyDescent="0.25">
      <c r="A49" s="1247"/>
      <c r="B49" s="732">
        <v>1200</v>
      </c>
      <c r="C49" s="733">
        <v>600</v>
      </c>
      <c r="D49" s="734">
        <v>200</v>
      </c>
      <c r="E49" s="735">
        <v>74.074074074074076</v>
      </c>
      <c r="F49" s="736">
        <v>10.716735253772292</v>
      </c>
      <c r="G49" s="737" t="s">
        <v>163</v>
      </c>
      <c r="H49" s="722" t="s">
        <v>46</v>
      </c>
      <c r="I49" s="738"/>
      <c r="J49" s="723">
        <v>228.09599999999995</v>
      </c>
      <c r="K49" s="739">
        <v>1</v>
      </c>
      <c r="L49" s="740">
        <v>0.72</v>
      </c>
      <c r="M49" s="741">
        <v>0.14399999999999999</v>
      </c>
      <c r="N49" s="739">
        <v>48</v>
      </c>
      <c r="O49" s="741">
        <v>6.911999999999999</v>
      </c>
      <c r="P49" s="742">
        <v>76.031999999999982</v>
      </c>
      <c r="Q49" s="743"/>
      <c r="R49" s="696">
        <f>M49*S49</f>
        <v>663.12</v>
      </c>
      <c r="S49" s="729">
        <v>4605</v>
      </c>
      <c r="T49" s="744">
        <v>814.42999999999984</v>
      </c>
    </row>
    <row r="50" spans="1:20" ht="20.100000000000001" customHeight="1" x14ac:dyDescent="0.25">
      <c r="A50" s="8"/>
      <c r="B50" s="20"/>
      <c r="J50" s="138"/>
    </row>
    <row r="51" spans="1:20" ht="18.75" customHeight="1" x14ac:dyDescent="0.25">
      <c r="A51" s="1" t="s">
        <v>7</v>
      </c>
      <c r="E51" s="2"/>
      <c r="F51" s="2"/>
      <c r="G51" s="2"/>
      <c r="H51" s="2"/>
      <c r="I51" s="2"/>
      <c r="J51" s="134"/>
      <c r="P51" s="1275" t="s">
        <v>21</v>
      </c>
      <c r="Q51" s="1275"/>
      <c r="R51" s="1275"/>
      <c r="S51" s="1275"/>
      <c r="T51" s="1275"/>
    </row>
    <row r="52" spans="1:20" s="745" customFormat="1" ht="20.100000000000001" customHeight="1" x14ac:dyDescent="0.25">
      <c r="A52" s="471" t="s">
        <v>342</v>
      </c>
      <c r="K52" s="746"/>
      <c r="M52" s="747"/>
      <c r="N52" s="746"/>
      <c r="O52" s="748"/>
      <c r="P52" s="1244" t="s">
        <v>40</v>
      </c>
      <c r="Q52" s="1244"/>
      <c r="R52" s="1244"/>
      <c r="S52" s="1244"/>
      <c r="T52" s="1244"/>
    </row>
    <row r="53" spans="1:20" ht="20.100000000000001" customHeight="1" x14ac:dyDescent="0.25">
      <c r="A53" s="26" t="s">
        <v>438</v>
      </c>
      <c r="E53" s="2"/>
      <c r="F53" s="2"/>
      <c r="G53" s="2"/>
      <c r="H53" s="2"/>
      <c r="I53" s="2"/>
      <c r="J53" s="2"/>
      <c r="P53" s="1244" t="s">
        <v>39</v>
      </c>
      <c r="Q53" s="1244"/>
      <c r="R53" s="1244"/>
      <c r="S53" s="1244"/>
      <c r="T53" s="1244"/>
    </row>
    <row r="54" spans="1:20" ht="20.100000000000001" customHeight="1" x14ac:dyDescent="0.25">
      <c r="A54" s="26" t="s">
        <v>24</v>
      </c>
      <c r="E54" s="2"/>
      <c r="F54" s="2"/>
      <c r="G54" s="2"/>
      <c r="H54" s="2"/>
      <c r="I54" s="2"/>
      <c r="J54" s="2"/>
      <c r="P54" s="1245" t="s">
        <v>37</v>
      </c>
      <c r="Q54" s="1245"/>
      <c r="R54" s="1245"/>
      <c r="S54" s="1245"/>
      <c r="T54" s="1245"/>
    </row>
    <row r="55" spans="1:20" ht="20.100000000000001" customHeight="1" x14ac:dyDescent="0.25">
      <c r="A55" s="26" t="s">
        <v>52</v>
      </c>
      <c r="E55" s="2"/>
      <c r="F55" s="2"/>
      <c r="G55" s="2"/>
      <c r="H55" s="2"/>
      <c r="I55" s="2"/>
      <c r="J55" s="2"/>
      <c r="R55" s="1245" t="s">
        <v>38</v>
      </c>
      <c r="S55" s="1245"/>
      <c r="T55" s="1245"/>
    </row>
    <row r="56" spans="1:20" ht="20.100000000000001" customHeight="1" x14ac:dyDescent="0.25">
      <c r="A56" s="30" t="s">
        <v>457</v>
      </c>
      <c r="E56" s="2"/>
      <c r="F56" s="4"/>
      <c r="G56" s="2"/>
      <c r="H56" s="2"/>
      <c r="I56" s="2"/>
      <c r="J56" s="5"/>
      <c r="L56" s="56"/>
    </row>
    <row r="57" spans="1:20" ht="20.100000000000001" customHeight="1" x14ac:dyDescent="0.25">
      <c r="A57" s="30" t="s">
        <v>458</v>
      </c>
      <c r="E57" s="2"/>
      <c r="F57" s="4"/>
      <c r="G57" s="2"/>
      <c r="H57" s="2"/>
      <c r="I57" s="2"/>
      <c r="J57" s="5"/>
      <c r="L57" s="56"/>
    </row>
    <row r="58" spans="1:20" ht="20.100000000000001" customHeight="1" x14ac:dyDescent="0.25">
      <c r="A58" s="30" t="s">
        <v>241</v>
      </c>
      <c r="E58" s="2"/>
      <c r="F58" s="4"/>
      <c r="G58" s="2"/>
      <c r="H58" s="2"/>
      <c r="I58" s="2"/>
      <c r="J58" s="5"/>
      <c r="L58" s="56"/>
    </row>
    <row r="59" spans="1:20" ht="20.100000000000001" customHeight="1" x14ac:dyDescent="0.25">
      <c r="A59" s="30"/>
      <c r="E59" s="4"/>
      <c r="F59" s="2"/>
      <c r="G59" s="2"/>
      <c r="H59" s="2"/>
      <c r="I59" s="2"/>
      <c r="J59" s="5"/>
      <c r="L59" s="56"/>
    </row>
    <row r="60" spans="1:20" ht="20.100000000000001" customHeight="1" x14ac:dyDescent="0.25">
      <c r="A60" s="30"/>
      <c r="E60" s="4"/>
      <c r="F60" s="2"/>
      <c r="G60" s="2"/>
      <c r="H60" s="2"/>
      <c r="I60" s="2"/>
      <c r="J60" s="5"/>
      <c r="L60" s="56"/>
    </row>
    <row r="61" spans="1:20" ht="20.100000000000001" customHeight="1" x14ac:dyDescent="0.25">
      <c r="A61" s="31"/>
      <c r="E61" s="2"/>
      <c r="F61" s="2"/>
      <c r="G61" s="2"/>
      <c r="H61" s="2"/>
      <c r="I61" s="2"/>
      <c r="J61" s="2"/>
    </row>
    <row r="62" spans="1:20" ht="20.100000000000001" customHeight="1" x14ac:dyDescent="0.25">
      <c r="E62" s="2"/>
      <c r="F62" s="2"/>
      <c r="G62" s="2"/>
      <c r="H62" s="2"/>
      <c r="I62" s="2"/>
      <c r="J62" s="2"/>
    </row>
    <row r="63" spans="1:20" ht="19.5" customHeight="1" x14ac:dyDescent="0.25">
      <c r="A63" s="2"/>
      <c r="E63" s="2"/>
      <c r="F63" s="2"/>
      <c r="G63" s="2"/>
      <c r="H63" s="2"/>
      <c r="I63" s="2"/>
      <c r="J63" s="2"/>
    </row>
    <row r="64" spans="1:20" ht="20.100000000000001" customHeight="1" x14ac:dyDescent="0.25">
      <c r="A64" s="2"/>
      <c r="E64" s="2"/>
      <c r="F64" s="2"/>
      <c r="G64" s="2"/>
      <c r="H64" s="2"/>
      <c r="I64" s="2"/>
      <c r="J64" s="2"/>
    </row>
    <row r="65" spans="1:20" ht="20.100000000000001" customHeight="1" x14ac:dyDescent="0.25">
      <c r="A65" s="2"/>
      <c r="C65" s="19"/>
      <c r="D65" s="20"/>
      <c r="E65" s="20"/>
      <c r="F65" s="20"/>
      <c r="G65" s="20"/>
      <c r="H65" s="20"/>
      <c r="I65" s="20"/>
      <c r="J65" s="20"/>
      <c r="K65" s="21"/>
      <c r="L65" s="20"/>
      <c r="M65" s="22"/>
      <c r="N65" s="69"/>
      <c r="O65" s="60"/>
      <c r="P65" s="20"/>
      <c r="Q65" s="22"/>
      <c r="R65" s="22"/>
      <c r="S65" s="22"/>
      <c r="T65" s="22"/>
    </row>
    <row r="66" spans="1:20" ht="20.100000000000001" customHeight="1" x14ac:dyDescent="0.25">
      <c r="C66" s="23"/>
      <c r="D66" s="20"/>
      <c r="E66" s="20"/>
      <c r="F66" s="20"/>
      <c r="G66" s="20"/>
      <c r="H66" s="20"/>
      <c r="I66" s="20"/>
      <c r="J66" s="20"/>
      <c r="K66" s="21"/>
      <c r="L66" s="20"/>
      <c r="M66" s="24"/>
      <c r="N66" s="70"/>
      <c r="O66" s="60"/>
      <c r="P66" s="20"/>
      <c r="Q66" s="24"/>
      <c r="R66" s="24"/>
      <c r="S66" s="24"/>
      <c r="T66" s="24"/>
    </row>
    <row r="67" spans="1:20" ht="20.100000000000001" customHeight="1" x14ac:dyDescent="0.25">
      <c r="C67" s="23"/>
      <c r="D67" s="20"/>
      <c r="E67" s="20"/>
      <c r="F67" s="20"/>
      <c r="G67" s="20"/>
      <c r="H67" s="20"/>
      <c r="I67" s="20"/>
      <c r="J67" s="20"/>
      <c r="K67" s="21"/>
      <c r="L67" s="20"/>
      <c r="M67" s="24"/>
      <c r="N67" s="70"/>
      <c r="O67" s="60"/>
      <c r="P67" s="20"/>
      <c r="Q67" s="24"/>
      <c r="R67" s="24"/>
      <c r="S67" s="24"/>
      <c r="T67" s="24"/>
    </row>
    <row r="69" spans="1:20" x14ac:dyDescent="0.25">
      <c r="B69" s="25"/>
    </row>
  </sheetData>
  <mergeCells count="20">
    <mergeCell ref="A45:A49"/>
    <mergeCell ref="P51:T51"/>
    <mergeCell ref="A4:T4"/>
    <mergeCell ref="A6:A7"/>
    <mergeCell ref="B6:B7"/>
    <mergeCell ref="C6:C7"/>
    <mergeCell ref="D6:D7"/>
    <mergeCell ref="E6:E7"/>
    <mergeCell ref="G6:G7"/>
    <mergeCell ref="H6:H7"/>
    <mergeCell ref="I6:I7"/>
    <mergeCell ref="J6:J7"/>
    <mergeCell ref="P52:T52"/>
    <mergeCell ref="P53:T53"/>
    <mergeCell ref="P54:T54"/>
    <mergeCell ref="R55:T55"/>
    <mergeCell ref="K6:M6"/>
    <mergeCell ref="N6:O6"/>
    <mergeCell ref="P6:Q6"/>
    <mergeCell ref="R6:T6"/>
  </mergeCells>
  <hyperlinks>
    <hyperlink ref="P54" r:id="rId1"/>
    <hyperlink ref="R55" r:id="rId2"/>
  </hyperlinks>
  <printOptions horizontalCentered="1"/>
  <pageMargins left="0.19685039370078741" right="0.19685039370078741" top="0.39370078740157483" bottom="0" header="0" footer="0"/>
  <pageSetup paperSize="9" scale="40" orientation="portrait" verticalDpi="1" r:id="rId3"/>
  <headerFooter alignWithMargins="0"/>
  <drawing r:id="rId4"/>
  <legacyDrawing r:id="rId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outlinePr summaryBelow="0"/>
    <pageSetUpPr fitToPage="1"/>
  </sheetPr>
  <dimension ref="A1:J295"/>
  <sheetViews>
    <sheetView zoomScaleNormal="100" workbookViewId="0">
      <selection activeCell="F207" sqref="F207:F293"/>
    </sheetView>
  </sheetViews>
  <sheetFormatPr defaultRowHeight="15" outlineLevelRow="1" x14ac:dyDescent="0.25"/>
  <cols>
    <col min="1" max="1" width="35.5703125" style="524" customWidth="1"/>
    <col min="2" max="2" width="7.85546875" style="520" customWidth="1"/>
    <col min="3" max="3" width="13.140625" style="524" customWidth="1"/>
    <col min="4" max="5" width="15.5703125" style="524" customWidth="1"/>
    <col min="6" max="6" width="9.5703125" style="520" customWidth="1"/>
    <col min="7" max="7" width="23.28515625" style="520" customWidth="1"/>
    <col min="8" max="8" width="11.5703125" style="520" customWidth="1"/>
    <col min="9" max="9" width="7.42578125" style="520" customWidth="1"/>
    <col min="10" max="10" width="46.7109375" style="520" customWidth="1"/>
    <col min="11" max="16384" width="9.140625" style="520"/>
  </cols>
  <sheetData>
    <row r="1" spans="1:10" ht="33.75" customHeight="1" x14ac:dyDescent="0.25">
      <c r="A1" s="517" t="s">
        <v>345</v>
      </c>
      <c r="B1" s="518" t="s">
        <v>545</v>
      </c>
      <c r="C1" s="525" t="s">
        <v>604</v>
      </c>
      <c r="D1" s="525" t="s">
        <v>588</v>
      </c>
      <c r="E1" s="525" t="s">
        <v>605</v>
      </c>
      <c r="F1" s="520" t="s">
        <v>406</v>
      </c>
      <c r="I1" s="520" t="s">
        <v>407</v>
      </c>
    </row>
    <row r="2" spans="1:10" x14ac:dyDescent="0.25">
      <c r="A2" s="879" t="s">
        <v>681</v>
      </c>
      <c r="B2" s="1050" t="s">
        <v>528</v>
      </c>
      <c r="C2" s="1217">
        <v>149</v>
      </c>
      <c r="D2" s="1217">
        <v>236</v>
      </c>
      <c r="E2" s="1217">
        <v>224</v>
      </c>
      <c r="F2" s="883">
        <v>49</v>
      </c>
      <c r="G2" s="884" t="s">
        <v>606</v>
      </c>
      <c r="H2" s="780" t="s">
        <v>522</v>
      </c>
      <c r="I2" s="524">
        <v>1</v>
      </c>
      <c r="J2" s="547" t="s">
        <v>738</v>
      </c>
    </row>
    <row r="3" spans="1:10" x14ac:dyDescent="0.25">
      <c r="A3" s="879" t="s">
        <v>682</v>
      </c>
      <c r="B3" s="1050" t="s">
        <v>528</v>
      </c>
      <c r="C3" s="1217">
        <v>281</v>
      </c>
      <c r="D3" s="1217">
        <v>444</v>
      </c>
      <c r="E3" s="1217">
        <v>421</v>
      </c>
      <c r="F3" s="883">
        <v>49</v>
      </c>
      <c r="G3" s="884" t="s">
        <v>606</v>
      </c>
      <c r="H3" s="780" t="s">
        <v>522</v>
      </c>
      <c r="I3" s="520">
        <v>2</v>
      </c>
      <c r="J3" s="547" t="s">
        <v>459</v>
      </c>
    </row>
    <row r="4" spans="1:10" x14ac:dyDescent="0.25">
      <c r="A4" s="519" t="s">
        <v>348</v>
      </c>
      <c r="B4" s="521">
        <v>467</v>
      </c>
      <c r="C4" s="1218">
        <v>457</v>
      </c>
      <c r="D4" s="1218">
        <v>722</v>
      </c>
      <c r="E4" s="1218">
        <v>685</v>
      </c>
      <c r="F4" s="520">
        <v>1</v>
      </c>
      <c r="G4" s="784" t="s">
        <v>529</v>
      </c>
      <c r="H4" s="780" t="s">
        <v>522</v>
      </c>
      <c r="I4" s="520">
        <v>3</v>
      </c>
      <c r="J4" s="547" t="s">
        <v>546</v>
      </c>
    </row>
    <row r="5" spans="1:10" x14ac:dyDescent="0.25">
      <c r="A5" s="772" t="s">
        <v>441</v>
      </c>
      <c r="B5" s="772">
        <v>370</v>
      </c>
      <c r="C5" s="1219">
        <v>536</v>
      </c>
      <c r="D5" s="1219">
        <v>848</v>
      </c>
      <c r="E5" s="1219">
        <v>803</v>
      </c>
      <c r="F5" s="774">
        <v>16</v>
      </c>
      <c r="G5" s="785" t="s">
        <v>530</v>
      </c>
      <c r="H5" s="780" t="s">
        <v>522</v>
      </c>
      <c r="I5" s="520">
        <v>4</v>
      </c>
      <c r="J5" s="547" t="s">
        <v>513</v>
      </c>
    </row>
    <row r="6" spans="1:10" x14ac:dyDescent="0.25">
      <c r="A6" s="519" t="s">
        <v>357</v>
      </c>
      <c r="B6" s="521">
        <v>249</v>
      </c>
      <c r="C6" s="1218">
        <v>184</v>
      </c>
      <c r="D6" s="1218">
        <v>292</v>
      </c>
      <c r="E6" s="1218">
        <v>277</v>
      </c>
      <c r="F6" s="524">
        <v>12</v>
      </c>
      <c r="G6" s="784" t="s">
        <v>529</v>
      </c>
      <c r="H6" s="780" t="s">
        <v>523</v>
      </c>
      <c r="I6" s="520">
        <v>5</v>
      </c>
      <c r="J6" s="547" t="s">
        <v>392</v>
      </c>
    </row>
    <row r="7" spans="1:10" x14ac:dyDescent="0.25">
      <c r="A7" s="519" t="s">
        <v>358</v>
      </c>
      <c r="B7" s="521">
        <v>237</v>
      </c>
      <c r="C7" s="1218">
        <v>176</v>
      </c>
      <c r="D7" s="1218">
        <v>278</v>
      </c>
      <c r="E7" s="1218">
        <v>264</v>
      </c>
      <c r="F7" s="524">
        <v>10</v>
      </c>
      <c r="G7" s="784" t="s">
        <v>529</v>
      </c>
      <c r="H7" s="780" t="s">
        <v>523</v>
      </c>
      <c r="I7" s="520">
        <v>6</v>
      </c>
      <c r="J7" s="547" t="s">
        <v>739</v>
      </c>
    </row>
    <row r="8" spans="1:10" ht="15" customHeight="1" x14ac:dyDescent="0.25">
      <c r="A8" s="519" t="s">
        <v>359</v>
      </c>
      <c r="B8" s="521">
        <v>146</v>
      </c>
      <c r="C8" s="1218">
        <v>128</v>
      </c>
      <c r="D8" s="1218">
        <v>201</v>
      </c>
      <c r="E8" s="1218">
        <v>191</v>
      </c>
      <c r="F8" s="524">
        <v>6</v>
      </c>
      <c r="G8" s="784" t="s">
        <v>529</v>
      </c>
      <c r="H8" s="781" t="s">
        <v>525</v>
      </c>
      <c r="I8" s="520">
        <v>7</v>
      </c>
      <c r="J8" s="547" t="s">
        <v>551</v>
      </c>
    </row>
    <row r="9" spans="1:10" x14ac:dyDescent="0.25">
      <c r="A9" s="772" t="s">
        <v>440</v>
      </c>
      <c r="B9" s="772">
        <v>273</v>
      </c>
      <c r="C9" s="1219">
        <v>395</v>
      </c>
      <c r="D9" s="1219">
        <v>625</v>
      </c>
      <c r="E9" s="1219">
        <v>593</v>
      </c>
      <c r="F9" s="774">
        <v>47</v>
      </c>
      <c r="G9" s="785" t="s">
        <v>530</v>
      </c>
      <c r="H9" s="780" t="s">
        <v>523</v>
      </c>
      <c r="I9" s="520">
        <v>8</v>
      </c>
      <c r="J9" s="547" t="s">
        <v>553</v>
      </c>
    </row>
    <row r="10" spans="1:10" x14ac:dyDescent="0.25">
      <c r="A10" s="519" t="s">
        <v>497</v>
      </c>
      <c r="B10" s="521">
        <v>230</v>
      </c>
      <c r="C10" s="1218">
        <v>220</v>
      </c>
      <c r="D10" s="1218">
        <v>347</v>
      </c>
      <c r="E10" s="1218">
        <v>329</v>
      </c>
      <c r="F10" s="524">
        <v>11</v>
      </c>
      <c r="G10" s="784" t="s">
        <v>529</v>
      </c>
      <c r="H10" s="780" t="s">
        <v>523</v>
      </c>
      <c r="I10" s="520">
        <v>9</v>
      </c>
      <c r="J10" s="547" t="s">
        <v>555</v>
      </c>
    </row>
    <row r="11" spans="1:10" x14ac:dyDescent="0.25">
      <c r="A11" s="519" t="s">
        <v>360</v>
      </c>
      <c r="B11" s="521">
        <v>213</v>
      </c>
      <c r="C11" s="1218">
        <v>158</v>
      </c>
      <c r="D11" s="1218">
        <v>250</v>
      </c>
      <c r="E11" s="1218">
        <v>237</v>
      </c>
      <c r="F11" s="524">
        <v>12</v>
      </c>
      <c r="G11" s="784" t="s">
        <v>529</v>
      </c>
      <c r="H11" s="780" t="s">
        <v>523</v>
      </c>
      <c r="I11" s="520">
        <v>10</v>
      </c>
      <c r="J11" s="547" t="s">
        <v>554</v>
      </c>
    </row>
    <row r="12" spans="1:10" x14ac:dyDescent="0.25">
      <c r="A12" s="519" t="s">
        <v>346</v>
      </c>
      <c r="B12" s="521">
        <v>158</v>
      </c>
      <c r="C12" s="1218">
        <v>106</v>
      </c>
      <c r="D12" s="1218">
        <v>167</v>
      </c>
      <c r="E12" s="1218">
        <v>158</v>
      </c>
      <c r="F12" s="524">
        <v>5</v>
      </c>
      <c r="G12" s="784" t="s">
        <v>529</v>
      </c>
      <c r="H12" s="780" t="s">
        <v>523</v>
      </c>
      <c r="I12" s="520">
        <v>11</v>
      </c>
      <c r="J12" s="547" t="s">
        <v>400</v>
      </c>
    </row>
    <row r="13" spans="1:10" x14ac:dyDescent="0.25">
      <c r="A13" s="519" t="s">
        <v>349</v>
      </c>
      <c r="B13" s="521">
        <v>243</v>
      </c>
      <c r="C13" s="1218">
        <v>198</v>
      </c>
      <c r="D13" s="1218">
        <v>313</v>
      </c>
      <c r="E13" s="1218">
        <v>297</v>
      </c>
      <c r="F13" s="524">
        <v>42</v>
      </c>
      <c r="G13" s="784" t="s">
        <v>529</v>
      </c>
      <c r="H13" s="780" t="s">
        <v>523</v>
      </c>
      <c r="I13" s="520">
        <v>12</v>
      </c>
      <c r="J13" s="547" t="s">
        <v>465</v>
      </c>
    </row>
    <row r="14" spans="1:10" x14ac:dyDescent="0.25">
      <c r="A14" s="519" t="s">
        <v>743</v>
      </c>
      <c r="B14" s="521" t="s">
        <v>528</v>
      </c>
      <c r="C14" s="1218">
        <v>746</v>
      </c>
      <c r="D14" s="1218">
        <v>1181</v>
      </c>
      <c r="E14" s="1218">
        <v>1118</v>
      </c>
      <c r="F14" s="524">
        <v>48</v>
      </c>
      <c r="G14" s="784" t="s">
        <v>529</v>
      </c>
      <c r="H14" s="780" t="s">
        <v>524</v>
      </c>
      <c r="I14" s="520">
        <v>13</v>
      </c>
      <c r="J14" s="547" t="s">
        <v>516</v>
      </c>
    </row>
    <row r="15" spans="1:10" x14ac:dyDescent="0.25">
      <c r="A15" s="519" t="s">
        <v>390</v>
      </c>
      <c r="B15" s="521">
        <v>515</v>
      </c>
      <c r="C15" s="817">
        <v>746</v>
      </c>
      <c r="D15" s="817">
        <v>1181</v>
      </c>
      <c r="E15" s="817">
        <v>1118</v>
      </c>
      <c r="F15" s="524">
        <v>13</v>
      </c>
      <c r="G15" s="784" t="s">
        <v>529</v>
      </c>
      <c r="H15" s="780" t="s">
        <v>524</v>
      </c>
      <c r="I15" s="520">
        <v>14</v>
      </c>
      <c r="J15" s="547" t="s">
        <v>722</v>
      </c>
    </row>
    <row r="16" spans="1:10" x14ac:dyDescent="0.25">
      <c r="A16" s="879" t="s">
        <v>592</v>
      </c>
      <c r="B16" s="881" t="s">
        <v>528</v>
      </c>
      <c r="C16" s="1217">
        <v>1053</v>
      </c>
      <c r="D16" s="1217">
        <v>1667</v>
      </c>
      <c r="E16" s="1217">
        <v>1579</v>
      </c>
      <c r="F16" s="885">
        <v>39</v>
      </c>
      <c r="G16" s="884" t="s">
        <v>606</v>
      </c>
      <c r="H16" s="780" t="s">
        <v>524</v>
      </c>
      <c r="I16" s="520">
        <v>15</v>
      </c>
      <c r="J16" s="547" t="s">
        <v>590</v>
      </c>
    </row>
    <row r="17" spans="1:10" x14ac:dyDescent="0.25">
      <c r="A17" s="519" t="s">
        <v>433</v>
      </c>
      <c r="B17" s="522">
        <v>164</v>
      </c>
      <c r="C17" s="1218">
        <v>154</v>
      </c>
      <c r="D17" s="1218">
        <v>243</v>
      </c>
      <c r="E17" s="1218">
        <v>231</v>
      </c>
      <c r="F17" s="524">
        <v>6</v>
      </c>
      <c r="G17" s="784" t="s">
        <v>529</v>
      </c>
      <c r="H17" s="780" t="s">
        <v>524</v>
      </c>
      <c r="I17" s="520">
        <v>16</v>
      </c>
      <c r="J17" s="547" t="s">
        <v>750</v>
      </c>
    </row>
    <row r="18" spans="1:10" x14ac:dyDescent="0.25">
      <c r="A18" s="879" t="s">
        <v>593</v>
      </c>
      <c r="B18" s="881" t="s">
        <v>528</v>
      </c>
      <c r="C18" s="1217">
        <v>596</v>
      </c>
      <c r="D18" s="1217">
        <v>944</v>
      </c>
      <c r="E18" s="1217">
        <v>895</v>
      </c>
      <c r="F18" s="885">
        <v>37</v>
      </c>
      <c r="G18" s="884" t="s">
        <v>606</v>
      </c>
      <c r="H18" s="780" t="s">
        <v>525</v>
      </c>
      <c r="I18" s="520">
        <v>17</v>
      </c>
      <c r="J18" s="547" t="s">
        <v>455</v>
      </c>
    </row>
    <row r="19" spans="1:10" x14ac:dyDescent="0.25">
      <c r="A19" s="523" t="s">
        <v>374</v>
      </c>
      <c r="B19" s="521" t="s">
        <v>528</v>
      </c>
      <c r="C19" s="1218">
        <v>456</v>
      </c>
      <c r="D19" s="1218">
        <v>722</v>
      </c>
      <c r="E19" s="1218">
        <v>684</v>
      </c>
      <c r="F19" s="524">
        <v>15</v>
      </c>
      <c r="G19" s="784" t="s">
        <v>529</v>
      </c>
      <c r="H19" s="781" t="s">
        <v>525</v>
      </c>
      <c r="I19" s="520">
        <v>18</v>
      </c>
      <c r="J19" s="547" t="s">
        <v>401</v>
      </c>
    </row>
    <row r="20" spans="1:10" x14ac:dyDescent="0.25">
      <c r="A20" s="519" t="s">
        <v>350</v>
      </c>
      <c r="B20" s="521" t="s">
        <v>528</v>
      </c>
      <c r="C20" s="1218">
        <v>316</v>
      </c>
      <c r="D20" s="1218">
        <v>500</v>
      </c>
      <c r="E20" s="1218">
        <v>474</v>
      </c>
      <c r="F20" s="524">
        <v>4</v>
      </c>
      <c r="G20" s="784" t="s">
        <v>529</v>
      </c>
      <c r="H20" s="781" t="s">
        <v>525</v>
      </c>
      <c r="I20" s="520">
        <v>19</v>
      </c>
      <c r="J20" s="547" t="s">
        <v>550</v>
      </c>
    </row>
    <row r="21" spans="1:10" x14ac:dyDescent="0.25">
      <c r="A21" s="519" t="s">
        <v>361</v>
      </c>
      <c r="B21" s="521">
        <v>206</v>
      </c>
      <c r="C21" s="1218">
        <v>128</v>
      </c>
      <c r="D21" s="1218">
        <v>201</v>
      </c>
      <c r="E21" s="1218">
        <v>191</v>
      </c>
      <c r="F21" s="524">
        <v>46</v>
      </c>
      <c r="G21" s="784" t="s">
        <v>529</v>
      </c>
      <c r="H21" s="781" t="s">
        <v>525</v>
      </c>
      <c r="I21" s="520">
        <v>20</v>
      </c>
      <c r="J21" s="547" t="s">
        <v>451</v>
      </c>
    </row>
    <row r="22" spans="1:10" x14ac:dyDescent="0.25">
      <c r="A22" s="523" t="s">
        <v>375</v>
      </c>
      <c r="B22" s="521" t="s">
        <v>528</v>
      </c>
      <c r="C22" s="1218">
        <v>448</v>
      </c>
      <c r="D22" s="1218">
        <v>708</v>
      </c>
      <c r="E22" s="1218">
        <v>672</v>
      </c>
      <c r="F22" s="524">
        <v>15</v>
      </c>
      <c r="G22" s="784" t="s">
        <v>529</v>
      </c>
      <c r="H22" s="781" t="s">
        <v>525</v>
      </c>
      <c r="I22" s="520">
        <v>21</v>
      </c>
      <c r="J22" s="547" t="s">
        <v>454</v>
      </c>
    </row>
    <row r="23" spans="1:10" x14ac:dyDescent="0.25">
      <c r="A23" s="879" t="s">
        <v>683</v>
      </c>
      <c r="B23" s="879" t="s">
        <v>528</v>
      </c>
      <c r="C23" s="1217">
        <v>75</v>
      </c>
      <c r="D23" s="1217">
        <v>118</v>
      </c>
      <c r="E23" s="1217">
        <v>112</v>
      </c>
      <c r="F23" s="885">
        <v>51</v>
      </c>
      <c r="G23" s="886" t="s">
        <v>606</v>
      </c>
      <c r="H23" s="781" t="s">
        <v>525</v>
      </c>
      <c r="I23" s="520">
        <v>22</v>
      </c>
      <c r="J23" s="547" t="s">
        <v>552</v>
      </c>
    </row>
    <row r="24" spans="1:10" x14ac:dyDescent="0.25">
      <c r="A24" s="879" t="s">
        <v>684</v>
      </c>
      <c r="B24" s="879" t="s">
        <v>528</v>
      </c>
      <c r="C24" s="1217">
        <v>140</v>
      </c>
      <c r="D24" s="1217">
        <v>222</v>
      </c>
      <c r="E24" s="1217">
        <v>211</v>
      </c>
      <c r="F24" s="885">
        <v>51</v>
      </c>
      <c r="G24" s="886" t="s">
        <v>606</v>
      </c>
      <c r="H24" s="781" t="s">
        <v>526</v>
      </c>
      <c r="I24" s="520">
        <v>23</v>
      </c>
      <c r="J24" s="547" t="s">
        <v>736</v>
      </c>
    </row>
    <row r="25" spans="1:10" x14ac:dyDescent="0.25">
      <c r="A25" s="772" t="s">
        <v>449</v>
      </c>
      <c r="B25" s="772">
        <v>152</v>
      </c>
      <c r="C25" s="1219">
        <v>220</v>
      </c>
      <c r="D25" s="1219">
        <v>349</v>
      </c>
      <c r="E25" s="1219">
        <v>329</v>
      </c>
      <c r="F25" s="774">
        <v>19</v>
      </c>
      <c r="G25" s="785" t="s">
        <v>530</v>
      </c>
      <c r="H25" s="781" t="s">
        <v>526</v>
      </c>
      <c r="I25" s="520">
        <v>24</v>
      </c>
      <c r="J25" s="547" t="s">
        <v>404</v>
      </c>
    </row>
    <row r="26" spans="1:10" x14ac:dyDescent="0.25">
      <c r="A26" s="519" t="s">
        <v>418</v>
      </c>
      <c r="B26" s="521">
        <v>182</v>
      </c>
      <c r="C26" s="1218">
        <v>167</v>
      </c>
      <c r="D26" s="1218">
        <v>264</v>
      </c>
      <c r="E26" s="1218">
        <v>250</v>
      </c>
      <c r="F26" s="524">
        <v>6</v>
      </c>
      <c r="G26" s="784" t="s">
        <v>529</v>
      </c>
      <c r="H26" s="780" t="s">
        <v>526</v>
      </c>
      <c r="I26" s="520">
        <v>25</v>
      </c>
      <c r="J26" s="547" t="s">
        <v>520</v>
      </c>
    </row>
    <row r="27" spans="1:10" x14ac:dyDescent="0.25">
      <c r="A27" s="772" t="s">
        <v>527</v>
      </c>
      <c r="B27" s="1051">
        <v>334</v>
      </c>
      <c r="C27" s="1219">
        <v>483</v>
      </c>
      <c r="D27" s="1219">
        <v>764</v>
      </c>
      <c r="E27" s="1219">
        <v>724</v>
      </c>
      <c r="F27" s="774">
        <v>25</v>
      </c>
      <c r="G27" s="785" t="s">
        <v>530</v>
      </c>
      <c r="H27" s="780" t="s">
        <v>526</v>
      </c>
      <c r="I27" s="520">
        <v>26</v>
      </c>
      <c r="J27" s="547" t="s">
        <v>521</v>
      </c>
    </row>
    <row r="28" spans="1:10" x14ac:dyDescent="0.25">
      <c r="A28" s="519" t="s">
        <v>420</v>
      </c>
      <c r="B28" s="521">
        <v>382</v>
      </c>
      <c r="C28" s="1218">
        <v>360</v>
      </c>
      <c r="D28" s="1218">
        <v>569</v>
      </c>
      <c r="E28" s="1218">
        <v>540</v>
      </c>
      <c r="F28" s="524">
        <v>14</v>
      </c>
      <c r="G28" s="784" t="s">
        <v>529</v>
      </c>
      <c r="H28" s="780" t="s">
        <v>522</v>
      </c>
      <c r="I28" s="520">
        <v>27</v>
      </c>
      <c r="J28" s="547" t="s">
        <v>547</v>
      </c>
    </row>
    <row r="29" spans="1:10" x14ac:dyDescent="0.25">
      <c r="A29" s="879" t="s">
        <v>685</v>
      </c>
      <c r="B29" s="1050" t="s">
        <v>528</v>
      </c>
      <c r="C29" s="1217">
        <v>246</v>
      </c>
      <c r="D29" s="1217">
        <v>389</v>
      </c>
      <c r="E29" s="1217">
        <v>368</v>
      </c>
      <c r="F29" s="885">
        <v>34</v>
      </c>
      <c r="G29" s="884" t="s">
        <v>606</v>
      </c>
      <c r="H29" s="780" t="s">
        <v>526</v>
      </c>
      <c r="I29" s="520">
        <v>28</v>
      </c>
      <c r="J29" s="547" t="s">
        <v>549</v>
      </c>
    </row>
    <row r="30" spans="1:10" x14ac:dyDescent="0.25">
      <c r="A30" s="879" t="s">
        <v>686</v>
      </c>
      <c r="B30" s="1050" t="s">
        <v>528</v>
      </c>
      <c r="C30" s="1217">
        <v>482</v>
      </c>
      <c r="D30" s="1217">
        <v>764</v>
      </c>
      <c r="E30" s="1217">
        <v>724</v>
      </c>
      <c r="F30" s="885">
        <v>34</v>
      </c>
      <c r="G30" s="884" t="s">
        <v>606</v>
      </c>
      <c r="H30" s="780" t="s">
        <v>524</v>
      </c>
      <c r="I30" s="520">
        <v>29</v>
      </c>
      <c r="J30" s="824" t="s">
        <v>370</v>
      </c>
    </row>
    <row r="31" spans="1:10" x14ac:dyDescent="0.25">
      <c r="A31" s="879" t="s">
        <v>687</v>
      </c>
      <c r="B31" s="1050" t="s">
        <v>528</v>
      </c>
      <c r="C31" s="1217">
        <v>702</v>
      </c>
      <c r="D31" s="1217">
        <v>1111</v>
      </c>
      <c r="E31" s="1217">
        <v>1053</v>
      </c>
      <c r="F31" s="885">
        <v>34</v>
      </c>
      <c r="G31" s="884" t="s">
        <v>606</v>
      </c>
      <c r="H31" s="780" t="s">
        <v>526</v>
      </c>
      <c r="I31" s="520">
        <v>30</v>
      </c>
      <c r="J31" s="547" t="s">
        <v>580</v>
      </c>
    </row>
    <row r="32" spans="1:10" x14ac:dyDescent="0.25">
      <c r="A32" s="879" t="s">
        <v>754</v>
      </c>
      <c r="B32" s="1050" t="s">
        <v>528</v>
      </c>
      <c r="C32" s="1217">
        <v>289</v>
      </c>
      <c r="D32" s="1217">
        <v>458</v>
      </c>
      <c r="E32" s="1217">
        <v>434</v>
      </c>
      <c r="F32" s="885">
        <v>34</v>
      </c>
      <c r="G32" s="884" t="s">
        <v>606</v>
      </c>
      <c r="H32" s="780" t="s">
        <v>526</v>
      </c>
      <c r="I32" s="520">
        <v>31</v>
      </c>
      <c r="J32" s="547" t="s">
        <v>581</v>
      </c>
    </row>
    <row r="33" spans="1:10" x14ac:dyDescent="0.25">
      <c r="A33" s="519" t="s">
        <v>744</v>
      </c>
      <c r="B33" s="521" t="s">
        <v>528</v>
      </c>
      <c r="C33" s="1218">
        <v>746</v>
      </c>
      <c r="D33" s="1218">
        <v>1181</v>
      </c>
      <c r="E33" s="1218">
        <v>1118</v>
      </c>
      <c r="F33" s="524">
        <v>48</v>
      </c>
      <c r="G33" s="784" t="s">
        <v>529</v>
      </c>
      <c r="H33" s="780" t="s">
        <v>526</v>
      </c>
      <c r="I33" s="520">
        <v>32</v>
      </c>
      <c r="J33" s="547" t="s">
        <v>586</v>
      </c>
    </row>
    <row r="34" spans="1:10" x14ac:dyDescent="0.25">
      <c r="A34" s="772" t="s">
        <v>498</v>
      </c>
      <c r="B34" s="772">
        <v>273</v>
      </c>
      <c r="C34" s="1219">
        <v>395</v>
      </c>
      <c r="D34" s="1219">
        <v>625</v>
      </c>
      <c r="E34" s="1219">
        <v>593</v>
      </c>
      <c r="F34" s="774">
        <v>32</v>
      </c>
      <c r="G34" s="785" t="s">
        <v>530</v>
      </c>
      <c r="H34" s="780" t="s">
        <v>524</v>
      </c>
      <c r="I34" s="520">
        <v>33</v>
      </c>
      <c r="J34" s="547" t="s">
        <v>589</v>
      </c>
    </row>
    <row r="35" spans="1:10" x14ac:dyDescent="0.25">
      <c r="A35" s="519" t="s">
        <v>362</v>
      </c>
      <c r="B35" s="521">
        <v>243</v>
      </c>
      <c r="C35" s="1218">
        <v>167</v>
      </c>
      <c r="D35" s="1218">
        <v>264</v>
      </c>
      <c r="E35" s="1218">
        <v>250</v>
      </c>
      <c r="F35" s="524">
        <v>12</v>
      </c>
      <c r="G35" s="784" t="s">
        <v>529</v>
      </c>
      <c r="H35" s="780" t="s">
        <v>608</v>
      </c>
      <c r="I35" s="520">
        <v>34</v>
      </c>
      <c r="J35" s="547" t="s">
        <v>679</v>
      </c>
    </row>
    <row r="36" spans="1:10" x14ac:dyDescent="0.25">
      <c r="A36" s="519" t="s">
        <v>351</v>
      </c>
      <c r="B36" s="521">
        <v>243</v>
      </c>
      <c r="C36" s="1218">
        <v>198</v>
      </c>
      <c r="D36" s="1218">
        <v>313</v>
      </c>
      <c r="E36" s="1218">
        <v>297</v>
      </c>
      <c r="F36" s="524">
        <v>42</v>
      </c>
      <c r="G36" s="784" t="s">
        <v>529</v>
      </c>
      <c r="H36" s="780" t="s">
        <v>608</v>
      </c>
      <c r="I36" s="520">
        <v>35</v>
      </c>
      <c r="J36" s="547" t="s">
        <v>755</v>
      </c>
    </row>
    <row r="37" spans="1:10" x14ac:dyDescent="0.25">
      <c r="A37" s="519" t="s">
        <v>363</v>
      </c>
      <c r="B37" s="521">
        <v>218</v>
      </c>
      <c r="C37" s="1218">
        <v>110</v>
      </c>
      <c r="D37" s="1218">
        <v>174</v>
      </c>
      <c r="E37" s="1218">
        <v>165</v>
      </c>
      <c r="F37" s="524">
        <v>9</v>
      </c>
      <c r="G37" s="784" t="s">
        <v>529</v>
      </c>
      <c r="H37" s="780" t="s">
        <v>608</v>
      </c>
      <c r="I37" s="520">
        <v>36</v>
      </c>
      <c r="J37" s="547" t="s">
        <v>599</v>
      </c>
    </row>
    <row r="38" spans="1:10" x14ac:dyDescent="0.25">
      <c r="A38" s="519" t="s">
        <v>347</v>
      </c>
      <c r="B38" s="521">
        <v>158</v>
      </c>
      <c r="C38" s="1218">
        <v>106</v>
      </c>
      <c r="D38" s="1218">
        <v>167</v>
      </c>
      <c r="E38" s="1218">
        <v>158</v>
      </c>
      <c r="F38" s="524">
        <v>5</v>
      </c>
      <c r="G38" s="784" t="s">
        <v>529</v>
      </c>
      <c r="H38" s="780" t="s">
        <v>608</v>
      </c>
      <c r="I38" s="520">
        <v>37</v>
      </c>
      <c r="J38" s="547" t="s">
        <v>593</v>
      </c>
    </row>
    <row r="39" spans="1:10" x14ac:dyDescent="0.25">
      <c r="A39" s="519" t="s">
        <v>354</v>
      </c>
      <c r="B39" s="521">
        <v>618</v>
      </c>
      <c r="C39" s="1218">
        <v>658</v>
      </c>
      <c r="D39" s="1218">
        <v>1042</v>
      </c>
      <c r="E39" s="1218">
        <v>987</v>
      </c>
      <c r="F39" s="524">
        <v>2</v>
      </c>
      <c r="G39" s="784" t="s">
        <v>529</v>
      </c>
      <c r="H39" s="780" t="s">
        <v>608</v>
      </c>
      <c r="I39" s="520">
        <v>38</v>
      </c>
      <c r="J39" s="547" t="s">
        <v>597</v>
      </c>
    </row>
    <row r="40" spans="1:10" x14ac:dyDescent="0.25">
      <c r="A40" s="772" t="s">
        <v>450</v>
      </c>
      <c r="B40" s="772">
        <v>122</v>
      </c>
      <c r="C40" s="1219">
        <v>176</v>
      </c>
      <c r="D40" s="1219">
        <v>278</v>
      </c>
      <c r="E40" s="1219">
        <v>264</v>
      </c>
      <c r="F40" s="774">
        <v>19</v>
      </c>
      <c r="G40" s="785" t="s">
        <v>530</v>
      </c>
      <c r="H40" s="780" t="s">
        <v>608</v>
      </c>
      <c r="I40" s="520">
        <v>39</v>
      </c>
      <c r="J40" s="547" t="s">
        <v>592</v>
      </c>
    </row>
    <row r="41" spans="1:10" x14ac:dyDescent="0.25">
      <c r="A41" s="519" t="s">
        <v>356</v>
      </c>
      <c r="B41" s="521">
        <v>267</v>
      </c>
      <c r="C41" s="1218">
        <v>198</v>
      </c>
      <c r="D41" s="1218">
        <v>313</v>
      </c>
      <c r="E41" s="1218">
        <v>297</v>
      </c>
      <c r="F41" s="524">
        <v>45</v>
      </c>
      <c r="G41" s="784" t="s">
        <v>529</v>
      </c>
      <c r="H41" s="780" t="s">
        <v>608</v>
      </c>
      <c r="I41" s="520">
        <v>40</v>
      </c>
      <c r="J41" s="547" t="s">
        <v>603</v>
      </c>
    </row>
    <row r="42" spans="1:10" x14ac:dyDescent="0.25">
      <c r="A42" s="879" t="s">
        <v>596</v>
      </c>
      <c r="B42" s="878" t="s">
        <v>528</v>
      </c>
      <c r="C42" s="1217">
        <v>79</v>
      </c>
      <c r="D42" s="1217">
        <v>125</v>
      </c>
      <c r="E42" s="1217">
        <v>118</v>
      </c>
      <c r="F42" s="885">
        <v>35</v>
      </c>
      <c r="G42" s="884" t="s">
        <v>606</v>
      </c>
      <c r="H42" s="780" t="s">
        <v>608</v>
      </c>
      <c r="I42" s="520">
        <v>41</v>
      </c>
      <c r="J42" s="547" t="s">
        <v>600</v>
      </c>
    </row>
    <row r="43" spans="1:10" x14ac:dyDescent="0.25">
      <c r="A43" s="879" t="s">
        <v>597</v>
      </c>
      <c r="B43" s="878" t="s">
        <v>528</v>
      </c>
      <c r="C43" s="1217">
        <v>149</v>
      </c>
      <c r="D43" s="1217">
        <v>236</v>
      </c>
      <c r="E43" s="1217">
        <v>224</v>
      </c>
      <c r="F43" s="885">
        <v>38</v>
      </c>
      <c r="G43" s="884" t="s">
        <v>606</v>
      </c>
      <c r="H43" s="780" t="s">
        <v>522</v>
      </c>
      <c r="I43" s="520">
        <v>42</v>
      </c>
      <c r="J43" s="824" t="s">
        <v>680</v>
      </c>
    </row>
    <row r="44" spans="1:10" x14ac:dyDescent="0.25">
      <c r="A44" s="772" t="s">
        <v>499</v>
      </c>
      <c r="B44" s="772">
        <v>182</v>
      </c>
      <c r="C44" s="1219">
        <v>263</v>
      </c>
      <c r="D44" s="1219">
        <v>417</v>
      </c>
      <c r="E44" s="1219">
        <v>395</v>
      </c>
      <c r="F44" s="774">
        <v>28</v>
      </c>
      <c r="G44" s="785" t="s">
        <v>530</v>
      </c>
      <c r="H44" s="780" t="s">
        <v>524</v>
      </c>
      <c r="I44" s="520">
        <v>43</v>
      </c>
      <c r="J44" s="824" t="s">
        <v>371</v>
      </c>
    </row>
    <row r="45" spans="1:10" x14ac:dyDescent="0.25">
      <c r="A45" s="519" t="s">
        <v>364</v>
      </c>
      <c r="B45" s="521">
        <v>230</v>
      </c>
      <c r="C45" s="1218">
        <v>136</v>
      </c>
      <c r="D45" s="1218">
        <v>215</v>
      </c>
      <c r="E45" s="1218">
        <v>204</v>
      </c>
      <c r="F45" s="524">
        <v>10</v>
      </c>
      <c r="G45" s="784" t="s">
        <v>529</v>
      </c>
      <c r="H45" s="780" t="s">
        <v>526</v>
      </c>
      <c r="I45" s="520">
        <v>44</v>
      </c>
      <c r="J45" s="547" t="s">
        <v>737</v>
      </c>
    </row>
    <row r="46" spans="1:10" x14ac:dyDescent="0.25">
      <c r="A46" s="776" t="s">
        <v>451</v>
      </c>
      <c r="B46" s="772">
        <v>152</v>
      </c>
      <c r="C46" s="1219">
        <v>220</v>
      </c>
      <c r="D46" s="1219">
        <v>348</v>
      </c>
      <c r="E46" s="1219">
        <v>329</v>
      </c>
      <c r="F46" s="774">
        <v>20</v>
      </c>
      <c r="G46" s="785" t="s">
        <v>530</v>
      </c>
      <c r="H46" s="780" t="s">
        <v>522</v>
      </c>
      <c r="I46" s="520">
        <v>45</v>
      </c>
      <c r="J46" s="547" t="s">
        <v>761</v>
      </c>
    </row>
    <row r="47" spans="1:10" x14ac:dyDescent="0.25">
      <c r="A47" s="776" t="s">
        <v>500</v>
      </c>
      <c r="B47" s="772">
        <v>200</v>
      </c>
      <c r="C47" s="1219">
        <v>290</v>
      </c>
      <c r="D47" s="1219">
        <v>459</v>
      </c>
      <c r="E47" s="1219">
        <v>435</v>
      </c>
      <c r="F47" s="774">
        <v>25</v>
      </c>
      <c r="G47" s="785" t="s">
        <v>530</v>
      </c>
      <c r="H47" s="780" t="s">
        <v>523</v>
      </c>
      <c r="I47" s="520">
        <v>46</v>
      </c>
      <c r="J47" s="547" t="s">
        <v>740</v>
      </c>
    </row>
    <row r="48" spans="1:10" x14ac:dyDescent="0.25">
      <c r="A48" s="519" t="s">
        <v>355</v>
      </c>
      <c r="B48" s="521">
        <v>309</v>
      </c>
      <c r="C48" s="1218">
        <v>254</v>
      </c>
      <c r="D48" s="1218">
        <v>403</v>
      </c>
      <c r="E48" s="1218">
        <v>382</v>
      </c>
      <c r="F48" s="524">
        <v>45</v>
      </c>
      <c r="G48" s="784" t="s">
        <v>529</v>
      </c>
      <c r="H48" s="780" t="s">
        <v>524</v>
      </c>
      <c r="I48" s="520">
        <v>47</v>
      </c>
      <c r="J48" s="547" t="s">
        <v>742</v>
      </c>
    </row>
    <row r="49" spans="1:10" x14ac:dyDescent="0.25">
      <c r="A49" s="523" t="s">
        <v>372</v>
      </c>
      <c r="B49" s="521">
        <v>382</v>
      </c>
      <c r="C49" s="1218">
        <v>360</v>
      </c>
      <c r="D49" s="1218">
        <v>569</v>
      </c>
      <c r="E49" s="1218">
        <v>540</v>
      </c>
      <c r="F49" s="524">
        <v>14</v>
      </c>
      <c r="G49" s="784" t="s">
        <v>529</v>
      </c>
      <c r="H49" s="780" t="s">
        <v>524</v>
      </c>
      <c r="I49" s="520">
        <v>48</v>
      </c>
      <c r="J49" s="547" t="s">
        <v>745</v>
      </c>
    </row>
    <row r="50" spans="1:10" x14ac:dyDescent="0.25">
      <c r="A50" s="887" t="s">
        <v>598</v>
      </c>
      <c r="B50" s="878" t="s">
        <v>528</v>
      </c>
      <c r="C50" s="1217">
        <v>281</v>
      </c>
      <c r="D50" s="1217">
        <v>444</v>
      </c>
      <c r="E50" s="1217">
        <v>421</v>
      </c>
      <c r="F50" s="885">
        <v>49</v>
      </c>
      <c r="G50" s="884" t="s">
        <v>606</v>
      </c>
      <c r="H50" s="780" t="s">
        <v>608</v>
      </c>
      <c r="I50" s="520">
        <v>49</v>
      </c>
      <c r="J50" s="547" t="s">
        <v>746</v>
      </c>
    </row>
    <row r="51" spans="1:10" x14ac:dyDescent="0.25">
      <c r="A51" s="776" t="s">
        <v>501</v>
      </c>
      <c r="B51" s="1197">
        <v>150</v>
      </c>
      <c r="C51" s="1219">
        <v>113</v>
      </c>
      <c r="D51" s="1219">
        <v>179</v>
      </c>
      <c r="E51" s="1219">
        <v>170</v>
      </c>
      <c r="F51" s="774">
        <v>24</v>
      </c>
      <c r="G51" s="785" t="s">
        <v>530</v>
      </c>
      <c r="H51" s="781" t="s">
        <v>524</v>
      </c>
      <c r="I51" s="520">
        <v>50</v>
      </c>
      <c r="J51" s="547" t="s">
        <v>391</v>
      </c>
    </row>
    <row r="52" spans="1:10" x14ac:dyDescent="0.25">
      <c r="A52" s="776" t="s">
        <v>502</v>
      </c>
      <c r="B52" s="1197">
        <v>150</v>
      </c>
      <c r="C52" s="1219">
        <v>167</v>
      </c>
      <c r="D52" s="1219">
        <v>264</v>
      </c>
      <c r="E52" s="1219">
        <v>250</v>
      </c>
      <c r="F52" s="774">
        <v>24</v>
      </c>
      <c r="G52" s="785" t="s">
        <v>530</v>
      </c>
      <c r="H52" s="781" t="s">
        <v>608</v>
      </c>
      <c r="I52" s="520">
        <v>51</v>
      </c>
      <c r="J52" s="547" t="s">
        <v>756</v>
      </c>
    </row>
    <row r="53" spans="1:10" x14ac:dyDescent="0.25">
      <c r="A53" s="776" t="s">
        <v>503</v>
      </c>
      <c r="B53" s="772">
        <v>230</v>
      </c>
      <c r="C53" s="1219">
        <v>333</v>
      </c>
      <c r="D53" s="1219">
        <v>528</v>
      </c>
      <c r="E53" s="1219">
        <v>500</v>
      </c>
      <c r="F53" s="774">
        <v>24</v>
      </c>
      <c r="G53" s="785" t="s">
        <v>530</v>
      </c>
      <c r="H53" s="780" t="s">
        <v>523</v>
      </c>
      <c r="I53" s="520">
        <v>52</v>
      </c>
      <c r="J53" s="547" t="s">
        <v>352</v>
      </c>
    </row>
    <row r="54" spans="1:10" x14ac:dyDescent="0.25">
      <c r="A54" s="887" t="s">
        <v>599</v>
      </c>
      <c r="B54" s="879" t="s">
        <v>528</v>
      </c>
      <c r="C54" s="1217">
        <v>807</v>
      </c>
      <c r="D54" s="1217">
        <v>1278</v>
      </c>
      <c r="E54" s="1217">
        <v>1211</v>
      </c>
      <c r="F54" s="885">
        <v>36</v>
      </c>
      <c r="G54" s="884" t="s">
        <v>606</v>
      </c>
      <c r="H54" s="771"/>
      <c r="I54" s="548" t="s">
        <v>408</v>
      </c>
      <c r="J54" s="549">
        <v>0.2</v>
      </c>
    </row>
    <row r="55" spans="1:10" x14ac:dyDescent="0.25">
      <c r="A55" s="1174" t="s">
        <v>443</v>
      </c>
      <c r="B55" s="519">
        <v>564</v>
      </c>
      <c r="C55" s="1218">
        <v>702</v>
      </c>
      <c r="D55" s="1218">
        <v>1111</v>
      </c>
      <c r="E55" s="1218">
        <v>1053</v>
      </c>
      <c r="F55" s="524">
        <v>33</v>
      </c>
      <c r="G55" s="1175" t="s">
        <v>529</v>
      </c>
      <c r="H55" s="524"/>
      <c r="I55" s="548" t="s">
        <v>409</v>
      </c>
      <c r="J55" s="549">
        <v>0.18</v>
      </c>
    </row>
    <row r="56" spans="1:10" x14ac:dyDescent="0.25">
      <c r="A56" s="523" t="s">
        <v>373</v>
      </c>
      <c r="B56" s="521" t="s">
        <v>528</v>
      </c>
      <c r="C56" s="1218">
        <v>614</v>
      </c>
      <c r="D56" s="1218">
        <v>972</v>
      </c>
      <c r="E56" s="1218">
        <v>922</v>
      </c>
      <c r="F56" s="524">
        <v>15</v>
      </c>
      <c r="G56" s="784" t="s">
        <v>529</v>
      </c>
      <c r="H56" s="524"/>
      <c r="I56" s="548" t="s">
        <v>339</v>
      </c>
      <c r="J56" s="549">
        <v>0.15</v>
      </c>
    </row>
    <row r="57" spans="1:10" x14ac:dyDescent="0.25">
      <c r="A57" s="519" t="s">
        <v>352</v>
      </c>
      <c r="B57" s="521" t="s">
        <v>528</v>
      </c>
      <c r="C57" s="1218">
        <v>316</v>
      </c>
      <c r="D57" s="1218">
        <v>500</v>
      </c>
      <c r="E57" s="1218">
        <v>474</v>
      </c>
      <c r="F57" s="524">
        <v>52</v>
      </c>
      <c r="G57" s="784" t="s">
        <v>529</v>
      </c>
      <c r="H57" s="524"/>
      <c r="I57" s="548" t="s">
        <v>411</v>
      </c>
      <c r="J57" s="549">
        <v>0</v>
      </c>
    </row>
    <row r="58" spans="1:10" x14ac:dyDescent="0.25">
      <c r="A58" s="772" t="s">
        <v>391</v>
      </c>
      <c r="B58" s="772">
        <v>340</v>
      </c>
      <c r="C58" s="1219">
        <v>492</v>
      </c>
      <c r="D58" s="1219">
        <v>778</v>
      </c>
      <c r="E58" s="1219">
        <v>737</v>
      </c>
      <c r="F58" s="774">
        <v>50</v>
      </c>
      <c r="G58" s="785" t="s">
        <v>530</v>
      </c>
      <c r="H58" s="771"/>
      <c r="I58" s="548" t="s">
        <v>410</v>
      </c>
      <c r="J58" s="549">
        <v>0.02</v>
      </c>
    </row>
    <row r="59" spans="1:10" x14ac:dyDescent="0.25">
      <c r="A59" s="776" t="s">
        <v>353</v>
      </c>
      <c r="B59" s="772">
        <v>249</v>
      </c>
      <c r="C59" s="1219">
        <v>360</v>
      </c>
      <c r="D59" s="1219">
        <v>570</v>
      </c>
      <c r="E59" s="1219">
        <v>540</v>
      </c>
      <c r="F59" s="774">
        <v>3</v>
      </c>
      <c r="G59" s="823" t="s">
        <v>530</v>
      </c>
      <c r="H59" s="524"/>
      <c r="I59" s="859" t="s">
        <v>557</v>
      </c>
      <c r="J59" s="549">
        <v>0.04</v>
      </c>
    </row>
    <row r="60" spans="1:10" x14ac:dyDescent="0.25">
      <c r="A60" s="776" t="s">
        <v>452</v>
      </c>
      <c r="B60" s="772">
        <v>115</v>
      </c>
      <c r="C60" s="1219">
        <v>167</v>
      </c>
      <c r="D60" s="1219">
        <v>264</v>
      </c>
      <c r="E60" s="1219">
        <v>250</v>
      </c>
      <c r="F60" s="774">
        <v>22</v>
      </c>
      <c r="G60" s="785" t="s">
        <v>530</v>
      </c>
      <c r="H60" s="524"/>
      <c r="I60" s="859" t="s">
        <v>558</v>
      </c>
      <c r="J60" s="549">
        <v>0.06</v>
      </c>
    </row>
    <row r="61" spans="1:10" x14ac:dyDescent="0.25">
      <c r="A61" s="776" t="s">
        <v>453</v>
      </c>
      <c r="B61" s="772">
        <v>158</v>
      </c>
      <c r="C61" s="1219">
        <v>228</v>
      </c>
      <c r="D61" s="1219">
        <v>362</v>
      </c>
      <c r="E61" s="1219">
        <v>343</v>
      </c>
      <c r="F61" s="774">
        <v>19</v>
      </c>
      <c r="G61" s="785" t="s">
        <v>530</v>
      </c>
      <c r="H61" s="771"/>
      <c r="I61" s="859" t="s">
        <v>417</v>
      </c>
      <c r="J61" s="549"/>
    </row>
    <row r="62" spans="1:10" x14ac:dyDescent="0.25">
      <c r="A62" s="523" t="s">
        <v>376</v>
      </c>
      <c r="B62" s="521" t="s">
        <v>528</v>
      </c>
      <c r="C62" s="1218">
        <v>790</v>
      </c>
      <c r="D62" s="1218">
        <v>1250</v>
      </c>
      <c r="E62" s="1218">
        <v>1185</v>
      </c>
      <c r="F62" s="524">
        <v>15</v>
      </c>
      <c r="G62" s="784" t="s">
        <v>529</v>
      </c>
      <c r="H62" s="771"/>
    </row>
    <row r="63" spans="1:10" x14ac:dyDescent="0.25">
      <c r="A63" s="776" t="s">
        <v>504</v>
      </c>
      <c r="B63" s="1197">
        <v>60</v>
      </c>
      <c r="C63" s="1220">
        <v>73.599999999999994</v>
      </c>
      <c r="D63" s="1219">
        <v>106</v>
      </c>
      <c r="E63" s="1219">
        <v>100</v>
      </c>
      <c r="F63" s="774">
        <v>7</v>
      </c>
      <c r="G63" s="785" t="s">
        <v>530</v>
      </c>
      <c r="H63" s="524"/>
    </row>
    <row r="64" spans="1:10" x14ac:dyDescent="0.25">
      <c r="A64" s="776" t="s">
        <v>505</v>
      </c>
      <c r="B64" s="1197">
        <v>60</v>
      </c>
      <c r="C64" s="1220">
        <v>171.6</v>
      </c>
      <c r="D64" s="1219">
        <v>209</v>
      </c>
      <c r="E64" s="1219">
        <v>198</v>
      </c>
      <c r="F64" s="774">
        <v>7</v>
      </c>
      <c r="G64" s="785" t="s">
        <v>530</v>
      </c>
      <c r="H64" s="524"/>
    </row>
    <row r="65" spans="1:9" outlineLevel="1" x14ac:dyDescent="0.25">
      <c r="A65" s="887" t="s">
        <v>600</v>
      </c>
      <c r="B65" s="879" t="s">
        <v>528</v>
      </c>
      <c r="C65" s="1217">
        <v>526</v>
      </c>
      <c r="D65" s="1217">
        <v>833</v>
      </c>
      <c r="E65" s="1217">
        <v>789</v>
      </c>
      <c r="F65" s="885">
        <v>41</v>
      </c>
      <c r="G65" s="884" t="s">
        <v>606</v>
      </c>
      <c r="H65" s="524"/>
    </row>
    <row r="66" spans="1:9" outlineLevel="1" x14ac:dyDescent="0.25">
      <c r="A66" s="887" t="s">
        <v>601</v>
      </c>
      <c r="B66" s="879" t="s">
        <v>528</v>
      </c>
      <c r="C66" s="1217">
        <v>289</v>
      </c>
      <c r="D66" s="1217">
        <v>458</v>
      </c>
      <c r="E66" s="1217">
        <v>434</v>
      </c>
      <c r="F66" s="885">
        <v>34</v>
      </c>
      <c r="G66" s="884" t="s">
        <v>606</v>
      </c>
      <c r="H66" s="524"/>
    </row>
    <row r="67" spans="1:9" outlineLevel="1" x14ac:dyDescent="0.25">
      <c r="A67" s="519" t="s">
        <v>370</v>
      </c>
      <c r="B67" s="521">
        <v>352</v>
      </c>
      <c r="C67" s="1218">
        <v>298</v>
      </c>
      <c r="D67" s="1218">
        <v>472</v>
      </c>
      <c r="E67" s="1218">
        <v>448</v>
      </c>
      <c r="F67" s="524">
        <v>29</v>
      </c>
      <c r="G67" s="784" t="s">
        <v>529</v>
      </c>
      <c r="H67" s="524"/>
    </row>
    <row r="68" spans="1:9" outlineLevel="1" x14ac:dyDescent="0.25">
      <c r="A68" s="519" t="s">
        <v>365</v>
      </c>
      <c r="B68" s="521">
        <v>158</v>
      </c>
      <c r="C68" s="1218">
        <v>40</v>
      </c>
      <c r="D68" s="1218">
        <v>64</v>
      </c>
      <c r="E68" s="1218">
        <v>61</v>
      </c>
      <c r="F68" s="524">
        <v>8</v>
      </c>
      <c r="G68" s="784" t="s">
        <v>529</v>
      </c>
      <c r="H68" s="771"/>
    </row>
    <row r="69" spans="1:9" outlineLevel="1" x14ac:dyDescent="0.25">
      <c r="A69" s="776" t="s">
        <v>401</v>
      </c>
      <c r="B69" s="772">
        <v>140</v>
      </c>
      <c r="C69" s="1219">
        <v>203</v>
      </c>
      <c r="D69" s="1219">
        <v>320</v>
      </c>
      <c r="E69" s="1219">
        <v>303</v>
      </c>
      <c r="F69" s="774">
        <v>18</v>
      </c>
      <c r="G69" s="785" t="s">
        <v>530</v>
      </c>
      <c r="H69" s="771"/>
    </row>
    <row r="70" spans="1:9" outlineLevel="1" x14ac:dyDescent="0.25">
      <c r="A70" s="776" t="s">
        <v>454</v>
      </c>
      <c r="B70" s="772">
        <v>213</v>
      </c>
      <c r="C70" s="1219">
        <v>308</v>
      </c>
      <c r="D70" s="1219">
        <v>487</v>
      </c>
      <c r="E70" s="1219">
        <v>461</v>
      </c>
      <c r="F70" s="774">
        <v>21</v>
      </c>
      <c r="G70" s="785" t="s">
        <v>530</v>
      </c>
      <c r="H70" s="771"/>
    </row>
    <row r="71" spans="1:9" outlineLevel="1" x14ac:dyDescent="0.25">
      <c r="A71" s="776" t="s">
        <v>506</v>
      </c>
      <c r="B71" s="772">
        <v>267</v>
      </c>
      <c r="C71" s="1219">
        <v>387</v>
      </c>
      <c r="D71" s="1219">
        <v>612</v>
      </c>
      <c r="E71" s="1219">
        <v>579</v>
      </c>
      <c r="F71" s="774">
        <v>23</v>
      </c>
      <c r="G71" s="785" t="s">
        <v>530</v>
      </c>
      <c r="H71" s="771"/>
    </row>
    <row r="72" spans="1:9" x14ac:dyDescent="0.25">
      <c r="A72" s="519" t="s">
        <v>366</v>
      </c>
      <c r="B72" s="521">
        <v>225</v>
      </c>
      <c r="C72" s="1218">
        <v>193</v>
      </c>
      <c r="D72" s="1218">
        <v>306</v>
      </c>
      <c r="E72" s="1218">
        <v>290</v>
      </c>
      <c r="F72" s="524">
        <v>10</v>
      </c>
      <c r="G72" s="784" t="s">
        <v>529</v>
      </c>
      <c r="H72" s="771"/>
    </row>
    <row r="73" spans="1:9" x14ac:dyDescent="0.25">
      <c r="A73" s="519" t="s">
        <v>371</v>
      </c>
      <c r="B73" s="521">
        <v>370</v>
      </c>
      <c r="C73" s="1218">
        <v>439</v>
      </c>
      <c r="D73" s="1218">
        <v>694</v>
      </c>
      <c r="E73" s="1218">
        <v>658</v>
      </c>
      <c r="F73" s="524">
        <v>43</v>
      </c>
      <c r="G73" s="784" t="s">
        <v>529</v>
      </c>
      <c r="H73" s="524"/>
      <c r="I73" s="825"/>
    </row>
    <row r="74" spans="1:9" x14ac:dyDescent="0.25">
      <c r="A74" s="519" t="s">
        <v>419</v>
      </c>
      <c r="B74" s="521">
        <v>200</v>
      </c>
      <c r="C74" s="1218">
        <v>132</v>
      </c>
      <c r="D74" s="1218">
        <v>208</v>
      </c>
      <c r="E74" s="1218">
        <v>198</v>
      </c>
      <c r="F74" s="524">
        <v>10</v>
      </c>
      <c r="G74" s="784" t="s">
        <v>529</v>
      </c>
      <c r="H74" s="524"/>
      <c r="I74" s="825"/>
    </row>
    <row r="75" spans="1:9" x14ac:dyDescent="0.25">
      <c r="A75" s="519" t="s">
        <v>367</v>
      </c>
      <c r="B75" s="521">
        <v>194</v>
      </c>
      <c r="C75" s="1218">
        <v>167</v>
      </c>
      <c r="D75" s="1218">
        <v>264</v>
      </c>
      <c r="E75" s="1218">
        <v>250</v>
      </c>
      <c r="F75" s="524">
        <v>46</v>
      </c>
      <c r="G75" s="784" t="s">
        <v>529</v>
      </c>
      <c r="H75" s="524"/>
      <c r="I75" s="825"/>
    </row>
    <row r="76" spans="1:9" x14ac:dyDescent="0.25">
      <c r="A76" s="879" t="s">
        <v>602</v>
      </c>
      <c r="B76" s="878" t="s">
        <v>528</v>
      </c>
      <c r="C76" s="1217">
        <v>70</v>
      </c>
      <c r="D76" s="1217">
        <v>111</v>
      </c>
      <c r="E76" s="1217">
        <v>105</v>
      </c>
      <c r="F76" s="885">
        <v>51</v>
      </c>
      <c r="G76" s="884" t="s">
        <v>606</v>
      </c>
      <c r="H76" s="524"/>
    </row>
    <row r="77" spans="1:9" ht="14.25" customHeight="1" x14ac:dyDescent="0.25">
      <c r="A77" s="519" t="s">
        <v>368</v>
      </c>
      <c r="B77" s="521">
        <v>243</v>
      </c>
      <c r="C77" s="1218">
        <v>105</v>
      </c>
      <c r="D77" s="1218">
        <v>167</v>
      </c>
      <c r="E77" s="1218">
        <v>158</v>
      </c>
      <c r="F77" s="524">
        <v>6</v>
      </c>
      <c r="G77" s="784" t="s">
        <v>529</v>
      </c>
      <c r="H77" s="524"/>
    </row>
    <row r="78" spans="1:9" ht="14.25" customHeight="1" x14ac:dyDescent="0.25">
      <c r="A78" s="772" t="s">
        <v>507</v>
      </c>
      <c r="B78" s="772">
        <v>346</v>
      </c>
      <c r="C78" s="1219">
        <v>500</v>
      </c>
      <c r="D78" s="1219">
        <v>792</v>
      </c>
      <c r="E78" s="1219">
        <v>750</v>
      </c>
      <c r="F78" s="774">
        <v>31</v>
      </c>
      <c r="G78" s="785" t="s">
        <v>530</v>
      </c>
      <c r="H78" s="524"/>
    </row>
    <row r="79" spans="1:9" x14ac:dyDescent="0.25">
      <c r="A79" s="772" t="s">
        <v>508</v>
      </c>
      <c r="B79" s="772">
        <v>103</v>
      </c>
      <c r="C79" s="1219">
        <v>149</v>
      </c>
      <c r="D79" s="1219">
        <v>237</v>
      </c>
      <c r="E79" s="1219">
        <v>224</v>
      </c>
      <c r="F79" s="774">
        <v>26</v>
      </c>
      <c r="G79" s="785" t="s">
        <v>530</v>
      </c>
      <c r="H79" s="771"/>
    </row>
    <row r="80" spans="1:9" x14ac:dyDescent="0.25">
      <c r="A80" s="776" t="s">
        <v>455</v>
      </c>
      <c r="B80" s="772">
        <v>134</v>
      </c>
      <c r="C80" s="1219">
        <v>193</v>
      </c>
      <c r="D80" s="1219">
        <v>306</v>
      </c>
      <c r="E80" s="1219">
        <v>290</v>
      </c>
      <c r="F80" s="774">
        <v>17</v>
      </c>
      <c r="G80" s="785" t="s">
        <v>530</v>
      </c>
      <c r="H80" s="524"/>
    </row>
    <row r="81" spans="1:8" x14ac:dyDescent="0.25">
      <c r="A81" s="887" t="s">
        <v>603</v>
      </c>
      <c r="B81" s="879" t="s">
        <v>528</v>
      </c>
      <c r="C81" s="1217">
        <v>596</v>
      </c>
      <c r="D81" s="1217">
        <v>944</v>
      </c>
      <c r="E81" s="1217">
        <v>895</v>
      </c>
      <c r="F81" s="885">
        <v>40</v>
      </c>
      <c r="G81" s="884" t="s">
        <v>606</v>
      </c>
      <c r="H81" s="524"/>
    </row>
    <row r="82" spans="1:8" x14ac:dyDescent="0.25">
      <c r="A82" s="772" t="s">
        <v>403</v>
      </c>
      <c r="B82" s="772">
        <v>666</v>
      </c>
      <c r="C82" s="1219">
        <v>965</v>
      </c>
      <c r="D82" s="1219">
        <v>1528</v>
      </c>
      <c r="E82" s="1219">
        <v>1448</v>
      </c>
      <c r="F82" s="774">
        <v>30</v>
      </c>
      <c r="G82" s="785" t="s">
        <v>530</v>
      </c>
      <c r="H82" s="524"/>
    </row>
    <row r="83" spans="1:8" x14ac:dyDescent="0.25">
      <c r="A83" s="772" t="s">
        <v>715</v>
      </c>
      <c r="B83" s="772">
        <v>224</v>
      </c>
      <c r="C83" s="1219">
        <v>325</v>
      </c>
      <c r="D83" s="1219">
        <v>514</v>
      </c>
      <c r="E83" s="1219">
        <v>487</v>
      </c>
      <c r="F83" s="774">
        <v>44</v>
      </c>
      <c r="G83" s="785" t="s">
        <v>530</v>
      </c>
      <c r="H83" s="771">
        <v>37000</v>
      </c>
    </row>
    <row r="84" spans="1:8" x14ac:dyDescent="0.25">
      <c r="A84" s="772" t="s">
        <v>716</v>
      </c>
      <c r="B84" s="772">
        <v>224</v>
      </c>
      <c r="C84" s="1219">
        <v>325</v>
      </c>
      <c r="D84" s="1219">
        <v>514</v>
      </c>
      <c r="E84" s="1219">
        <v>487</v>
      </c>
      <c r="F84" s="774">
        <v>44</v>
      </c>
      <c r="G84" s="785" t="s">
        <v>530</v>
      </c>
      <c r="H84" s="771">
        <v>37000</v>
      </c>
    </row>
    <row r="85" spans="1:8" x14ac:dyDescent="0.25">
      <c r="A85" s="523" t="s">
        <v>377</v>
      </c>
      <c r="B85" s="521" t="s">
        <v>528</v>
      </c>
      <c r="C85" s="1218">
        <v>658</v>
      </c>
      <c r="D85" s="1218">
        <v>1042</v>
      </c>
      <c r="E85" s="1218">
        <v>987</v>
      </c>
      <c r="F85" s="524">
        <v>15</v>
      </c>
      <c r="G85" s="784" t="s">
        <v>529</v>
      </c>
    </row>
    <row r="86" spans="1:8" x14ac:dyDescent="0.25">
      <c r="A86" s="776" t="s">
        <v>510</v>
      </c>
      <c r="B86" s="772">
        <v>103</v>
      </c>
      <c r="C86" s="1219">
        <v>149</v>
      </c>
      <c r="D86" s="1219">
        <v>237</v>
      </c>
      <c r="E86" s="1219">
        <v>224</v>
      </c>
      <c r="F86" s="774">
        <v>22</v>
      </c>
      <c r="G86" s="785" t="s">
        <v>530</v>
      </c>
    </row>
    <row r="87" spans="1:8" x14ac:dyDescent="0.25">
      <c r="A87" s="776" t="s">
        <v>717</v>
      </c>
      <c r="B87" s="772">
        <v>703</v>
      </c>
      <c r="C87" s="1219">
        <v>1018</v>
      </c>
      <c r="D87" s="1219">
        <v>1611</v>
      </c>
      <c r="E87" s="1219">
        <v>1526</v>
      </c>
      <c r="F87" s="774">
        <v>30</v>
      </c>
      <c r="G87" s="785" t="s">
        <v>530</v>
      </c>
      <c r="H87" s="520">
        <v>116000</v>
      </c>
    </row>
    <row r="88" spans="1:8" x14ac:dyDescent="0.25">
      <c r="A88" s="519" t="s">
        <v>369</v>
      </c>
      <c r="B88" s="521">
        <v>170</v>
      </c>
      <c r="C88" s="1218">
        <v>167</v>
      </c>
      <c r="D88" s="1218">
        <v>264</v>
      </c>
      <c r="E88" s="1218">
        <v>250</v>
      </c>
      <c r="F88" s="524">
        <v>6</v>
      </c>
      <c r="G88" s="784" t="s">
        <v>529</v>
      </c>
    </row>
    <row r="89" spans="1:8" x14ac:dyDescent="0.25">
      <c r="A89" s="519"/>
      <c r="B89" s="521"/>
      <c r="C89" s="1218"/>
      <c r="D89" s="1218"/>
      <c r="E89" s="1218"/>
      <c r="F89" s="524"/>
      <c r="G89" s="784"/>
    </row>
    <row r="90" spans="1:8" x14ac:dyDescent="0.25">
      <c r="A90" s="519"/>
      <c r="B90" s="521"/>
      <c r="C90" s="1218"/>
      <c r="D90" s="1218"/>
      <c r="E90" s="1218"/>
      <c r="F90" s="524"/>
      <c r="G90" s="784"/>
    </row>
    <row r="92" spans="1:8" x14ac:dyDescent="0.25">
      <c r="A92" s="519" t="s">
        <v>681</v>
      </c>
      <c r="B92" t="s">
        <v>688</v>
      </c>
    </row>
    <row r="93" spans="1:8" x14ac:dyDescent="0.25">
      <c r="A93" s="519" t="s">
        <v>682</v>
      </c>
      <c r="B93" t="s">
        <v>689</v>
      </c>
    </row>
    <row r="94" spans="1:8" x14ac:dyDescent="0.25">
      <c r="A94" s="519" t="s">
        <v>683</v>
      </c>
      <c r="B94" t="s">
        <v>690</v>
      </c>
    </row>
    <row r="95" spans="1:8" x14ac:dyDescent="0.25">
      <c r="A95" s="519" t="s">
        <v>684</v>
      </c>
      <c r="B95" t="s">
        <v>691</v>
      </c>
    </row>
    <row r="96" spans="1:8" x14ac:dyDescent="0.25">
      <c r="A96" s="519" t="s">
        <v>685</v>
      </c>
      <c r="B96" t="s">
        <v>753</v>
      </c>
    </row>
    <row r="97" spans="1:7" x14ac:dyDescent="0.25">
      <c r="A97" s="519" t="s">
        <v>686</v>
      </c>
      <c r="B97" t="s">
        <v>692</v>
      </c>
    </row>
    <row r="98" spans="1:7" x14ac:dyDescent="0.25">
      <c r="A98" s="519" t="s">
        <v>687</v>
      </c>
      <c r="B98" t="s">
        <v>693</v>
      </c>
    </row>
    <row r="99" spans="1:7" x14ac:dyDescent="0.25">
      <c r="A99" s="519" t="s">
        <v>754</v>
      </c>
      <c r="B99" t="s">
        <v>752</v>
      </c>
    </row>
    <row r="100" spans="1:7" x14ac:dyDescent="0.25">
      <c r="A100" s="519" t="s">
        <v>501</v>
      </c>
      <c r="B100" t="s">
        <v>531</v>
      </c>
    </row>
    <row r="101" spans="1:7" x14ac:dyDescent="0.25">
      <c r="A101" s="519" t="s">
        <v>502</v>
      </c>
      <c r="B101" t="s">
        <v>751</v>
      </c>
    </row>
    <row r="102" spans="1:7" x14ac:dyDescent="0.25">
      <c r="A102" s="519" t="s">
        <v>503</v>
      </c>
      <c r="B102" t="s">
        <v>719</v>
      </c>
    </row>
    <row r="103" spans="1:7" x14ac:dyDescent="0.25">
      <c r="A103" s="519" t="s">
        <v>504</v>
      </c>
      <c r="B103" s="788" t="s">
        <v>747</v>
      </c>
    </row>
    <row r="104" spans="1:7" ht="22.5" x14ac:dyDescent="0.25">
      <c r="A104" s="519" t="s">
        <v>505</v>
      </c>
      <c r="B104" s="789" t="s">
        <v>532</v>
      </c>
    </row>
    <row r="105" spans="1:7" x14ac:dyDescent="0.25">
      <c r="A105" s="519" t="s">
        <v>715</v>
      </c>
      <c r="B105" s="789" t="s">
        <v>720</v>
      </c>
    </row>
    <row r="106" spans="1:7" x14ac:dyDescent="0.25">
      <c r="A106" s="519" t="s">
        <v>716</v>
      </c>
      <c r="B106" s="789" t="s">
        <v>721</v>
      </c>
    </row>
    <row r="107" spans="1:7" x14ac:dyDescent="0.25">
      <c r="A107" s="866" t="s">
        <v>717</v>
      </c>
      <c r="B107" s="789" t="s">
        <v>718</v>
      </c>
    </row>
    <row r="109" spans="1:7" x14ac:dyDescent="0.25">
      <c r="A109" s="651" t="s">
        <v>757</v>
      </c>
      <c r="B109" s="652"/>
      <c r="C109" s="653"/>
      <c r="D109" s="618"/>
      <c r="E109" s="653"/>
      <c r="F109" s="654"/>
    </row>
    <row r="110" spans="1:7" ht="45" x14ac:dyDescent="0.25">
      <c r="A110" s="517" t="s">
        <v>345</v>
      </c>
      <c r="B110" s="518" t="s">
        <v>545</v>
      </c>
      <c r="C110" s="525" t="s">
        <v>604</v>
      </c>
      <c r="D110" s="525" t="s">
        <v>588</v>
      </c>
      <c r="E110" s="525" t="s">
        <v>605</v>
      </c>
      <c r="F110" s="520" t="s">
        <v>406</v>
      </c>
    </row>
    <row r="111" spans="1:7" x14ac:dyDescent="0.25">
      <c r="A111" s="879" t="s">
        <v>681</v>
      </c>
      <c r="B111" s="1050" t="s">
        <v>528</v>
      </c>
      <c r="C111" s="880">
        <v>149</v>
      </c>
      <c r="D111" s="881">
        <v>236</v>
      </c>
      <c r="E111" s="882">
        <v>224</v>
      </c>
      <c r="F111" s="883">
        <v>49</v>
      </c>
      <c r="G111" s="884" t="s">
        <v>606</v>
      </c>
    </row>
    <row r="112" spans="1:7" x14ac:dyDescent="0.25">
      <c r="A112" s="879" t="s">
        <v>682</v>
      </c>
      <c r="B112" s="1050" t="s">
        <v>528</v>
      </c>
      <c r="C112" s="880">
        <v>281</v>
      </c>
      <c r="D112" s="881">
        <v>444</v>
      </c>
      <c r="E112" s="882">
        <v>421</v>
      </c>
      <c r="F112" s="883">
        <v>49</v>
      </c>
      <c r="G112" s="884" t="s">
        <v>606</v>
      </c>
    </row>
    <row r="113" spans="1:7" x14ac:dyDescent="0.25">
      <c r="A113" s="519" t="s">
        <v>348</v>
      </c>
      <c r="B113" s="521">
        <v>467</v>
      </c>
      <c r="C113" s="817">
        <v>457</v>
      </c>
      <c r="D113" s="522">
        <v>722</v>
      </c>
      <c r="E113" s="647">
        <v>685</v>
      </c>
      <c r="F113" s="520">
        <v>1</v>
      </c>
      <c r="G113" s="784" t="s">
        <v>529</v>
      </c>
    </row>
    <row r="114" spans="1:7" x14ac:dyDescent="0.25">
      <c r="A114" s="772" t="s">
        <v>441</v>
      </c>
      <c r="B114" s="772">
        <v>370</v>
      </c>
      <c r="C114" s="870">
        <v>536</v>
      </c>
      <c r="D114" s="773">
        <v>848</v>
      </c>
      <c r="E114" s="773">
        <v>803</v>
      </c>
      <c r="F114" s="774">
        <v>16</v>
      </c>
      <c r="G114" s="785" t="s">
        <v>530</v>
      </c>
    </row>
    <row r="115" spans="1:7" x14ac:dyDescent="0.25">
      <c r="A115" s="519" t="s">
        <v>357</v>
      </c>
      <c r="B115" s="521">
        <v>249</v>
      </c>
      <c r="C115" s="817">
        <v>184</v>
      </c>
      <c r="D115" s="522">
        <v>292</v>
      </c>
      <c r="E115" s="647">
        <v>277</v>
      </c>
      <c r="F115" s="524">
        <v>12</v>
      </c>
      <c r="G115" s="784" t="s">
        <v>529</v>
      </c>
    </row>
    <row r="116" spans="1:7" x14ac:dyDescent="0.25">
      <c r="A116" s="519" t="s">
        <v>358</v>
      </c>
      <c r="B116" s="521">
        <v>237</v>
      </c>
      <c r="C116" s="817">
        <v>176</v>
      </c>
      <c r="D116" s="522">
        <v>278</v>
      </c>
      <c r="E116" s="647">
        <v>264</v>
      </c>
      <c r="F116" s="524">
        <v>10</v>
      </c>
      <c r="G116" s="784" t="s">
        <v>529</v>
      </c>
    </row>
    <row r="117" spans="1:7" x14ac:dyDescent="0.25">
      <c r="A117" s="519" t="s">
        <v>359</v>
      </c>
      <c r="B117" s="521">
        <v>146</v>
      </c>
      <c r="C117" s="817">
        <v>128</v>
      </c>
      <c r="D117" s="522">
        <v>201</v>
      </c>
      <c r="E117" s="522">
        <v>191</v>
      </c>
      <c r="F117" s="524">
        <v>6</v>
      </c>
      <c r="G117" s="784" t="s">
        <v>529</v>
      </c>
    </row>
    <row r="118" spans="1:7" x14ac:dyDescent="0.25">
      <c r="A118" s="772" t="s">
        <v>440</v>
      </c>
      <c r="B118" s="772">
        <v>273</v>
      </c>
      <c r="C118" s="870">
        <v>395</v>
      </c>
      <c r="D118" s="773">
        <v>625</v>
      </c>
      <c r="E118" s="773">
        <v>593</v>
      </c>
      <c r="F118" s="774">
        <v>47</v>
      </c>
      <c r="G118" s="785" t="s">
        <v>530</v>
      </c>
    </row>
    <row r="119" spans="1:7" x14ac:dyDescent="0.25">
      <c r="A119" s="519" t="s">
        <v>497</v>
      </c>
      <c r="B119" s="521">
        <v>230</v>
      </c>
      <c r="C119" s="817">
        <v>220</v>
      </c>
      <c r="D119" s="522">
        <v>347</v>
      </c>
      <c r="E119" s="647">
        <v>329</v>
      </c>
      <c r="F119" s="524">
        <v>11</v>
      </c>
      <c r="G119" s="784" t="s">
        <v>529</v>
      </c>
    </row>
    <row r="120" spans="1:7" x14ac:dyDescent="0.25">
      <c r="A120" s="519" t="s">
        <v>360</v>
      </c>
      <c r="B120" s="521">
        <v>213</v>
      </c>
      <c r="C120" s="817">
        <v>158</v>
      </c>
      <c r="D120" s="522">
        <v>250</v>
      </c>
      <c r="E120" s="647">
        <v>237</v>
      </c>
      <c r="F120" s="524">
        <v>12</v>
      </c>
      <c r="G120" s="784" t="s">
        <v>529</v>
      </c>
    </row>
    <row r="121" spans="1:7" x14ac:dyDescent="0.25">
      <c r="A121" s="519" t="s">
        <v>346</v>
      </c>
      <c r="B121" s="521">
        <v>158</v>
      </c>
      <c r="C121" s="817">
        <v>106</v>
      </c>
      <c r="D121" s="522">
        <v>167</v>
      </c>
      <c r="E121" s="647">
        <v>158</v>
      </c>
      <c r="F121" s="524">
        <v>5</v>
      </c>
      <c r="G121" s="784" t="s">
        <v>529</v>
      </c>
    </row>
    <row r="122" spans="1:7" x14ac:dyDescent="0.25">
      <c r="A122" s="519" t="s">
        <v>349</v>
      </c>
      <c r="B122" s="521">
        <v>243</v>
      </c>
      <c r="C122" s="817">
        <v>198</v>
      </c>
      <c r="D122" s="522">
        <v>313</v>
      </c>
      <c r="E122" s="647">
        <v>297</v>
      </c>
      <c r="F122" s="524">
        <v>42</v>
      </c>
      <c r="G122" s="784" t="s">
        <v>529</v>
      </c>
    </row>
    <row r="123" spans="1:7" x14ac:dyDescent="0.25">
      <c r="A123" s="519" t="s">
        <v>743</v>
      </c>
      <c r="B123" s="521" t="s">
        <v>528</v>
      </c>
      <c r="C123" s="817">
        <v>746</v>
      </c>
      <c r="D123" s="522">
        <v>1181</v>
      </c>
      <c r="E123" s="647">
        <v>1118</v>
      </c>
      <c r="F123" s="524">
        <v>48</v>
      </c>
      <c r="G123" s="784" t="s">
        <v>529</v>
      </c>
    </row>
    <row r="124" spans="1:7" x14ac:dyDescent="0.25">
      <c r="A124" s="519" t="s">
        <v>390</v>
      </c>
      <c r="B124" s="521">
        <v>515</v>
      </c>
      <c r="C124" s="817">
        <v>746</v>
      </c>
      <c r="D124" s="522">
        <v>1181</v>
      </c>
      <c r="E124" s="647">
        <v>1118</v>
      </c>
      <c r="F124" s="524">
        <v>13</v>
      </c>
      <c r="G124" s="784" t="s">
        <v>529</v>
      </c>
    </row>
    <row r="125" spans="1:7" x14ac:dyDescent="0.25">
      <c r="A125" s="879" t="s">
        <v>592</v>
      </c>
      <c r="B125" s="881" t="s">
        <v>528</v>
      </c>
      <c r="C125" s="880">
        <v>1053</v>
      </c>
      <c r="D125" s="881">
        <v>1667</v>
      </c>
      <c r="E125" s="882">
        <v>1579</v>
      </c>
      <c r="F125" s="885">
        <v>39</v>
      </c>
      <c r="G125" s="884" t="s">
        <v>606</v>
      </c>
    </row>
    <row r="126" spans="1:7" x14ac:dyDescent="0.25">
      <c r="A126" s="519" t="s">
        <v>433</v>
      </c>
      <c r="B126" s="522">
        <v>164</v>
      </c>
      <c r="C126" s="817">
        <v>154</v>
      </c>
      <c r="D126" s="522">
        <v>243</v>
      </c>
      <c r="E126" s="647">
        <v>231</v>
      </c>
      <c r="F126" s="524">
        <v>6</v>
      </c>
      <c r="G126" s="784" t="s">
        <v>529</v>
      </c>
    </row>
    <row r="127" spans="1:7" x14ac:dyDescent="0.25">
      <c r="A127" s="879" t="s">
        <v>593</v>
      </c>
      <c r="B127" s="881" t="s">
        <v>528</v>
      </c>
      <c r="C127" s="880">
        <v>596</v>
      </c>
      <c r="D127" s="881">
        <v>944</v>
      </c>
      <c r="E127" s="882">
        <v>895</v>
      </c>
      <c r="F127" s="885">
        <v>37</v>
      </c>
      <c r="G127" s="884" t="s">
        <v>606</v>
      </c>
    </row>
    <row r="128" spans="1:7" x14ac:dyDescent="0.25">
      <c r="A128" s="523" t="s">
        <v>374</v>
      </c>
      <c r="B128" s="521" t="s">
        <v>528</v>
      </c>
      <c r="C128" s="817">
        <v>456</v>
      </c>
      <c r="D128" s="522">
        <v>722</v>
      </c>
      <c r="E128" s="647">
        <v>684</v>
      </c>
      <c r="F128" s="524">
        <v>15</v>
      </c>
      <c r="G128" s="784" t="s">
        <v>529</v>
      </c>
    </row>
    <row r="129" spans="1:7" x14ac:dyDescent="0.25">
      <c r="A129" s="519" t="s">
        <v>350</v>
      </c>
      <c r="B129" s="521" t="s">
        <v>528</v>
      </c>
      <c r="C129" s="817">
        <v>316</v>
      </c>
      <c r="D129" s="522">
        <v>500</v>
      </c>
      <c r="E129" s="647">
        <v>474</v>
      </c>
      <c r="F129" s="524">
        <v>4</v>
      </c>
      <c r="G129" s="784" t="s">
        <v>529</v>
      </c>
    </row>
    <row r="130" spans="1:7" x14ac:dyDescent="0.25">
      <c r="A130" s="519" t="s">
        <v>361</v>
      </c>
      <c r="B130" s="521">
        <v>206</v>
      </c>
      <c r="C130" s="817">
        <v>128</v>
      </c>
      <c r="D130" s="522">
        <v>201</v>
      </c>
      <c r="E130" s="647">
        <v>191</v>
      </c>
      <c r="F130" s="524">
        <v>46</v>
      </c>
      <c r="G130" s="784" t="s">
        <v>529</v>
      </c>
    </row>
    <row r="131" spans="1:7" x14ac:dyDescent="0.25">
      <c r="A131" s="523" t="s">
        <v>375</v>
      </c>
      <c r="B131" s="521" t="s">
        <v>528</v>
      </c>
      <c r="C131" s="817">
        <v>448</v>
      </c>
      <c r="D131" s="522">
        <v>708</v>
      </c>
      <c r="E131" s="647">
        <v>672</v>
      </c>
      <c r="F131" s="524">
        <v>15</v>
      </c>
      <c r="G131" s="784" t="s">
        <v>529</v>
      </c>
    </row>
    <row r="132" spans="1:7" x14ac:dyDescent="0.25">
      <c r="A132" s="879" t="s">
        <v>683</v>
      </c>
      <c r="B132" s="879" t="s">
        <v>528</v>
      </c>
      <c r="C132" s="880">
        <v>75</v>
      </c>
      <c r="D132" s="881">
        <v>118</v>
      </c>
      <c r="E132" s="881">
        <v>112</v>
      </c>
      <c r="F132" s="885">
        <v>51</v>
      </c>
      <c r="G132" s="886" t="s">
        <v>606</v>
      </c>
    </row>
    <row r="133" spans="1:7" x14ac:dyDescent="0.25">
      <c r="A133" s="879" t="s">
        <v>684</v>
      </c>
      <c r="B133" s="879" t="s">
        <v>528</v>
      </c>
      <c r="C133" s="880">
        <v>140</v>
      </c>
      <c r="D133" s="881">
        <v>222</v>
      </c>
      <c r="E133" s="881">
        <v>211</v>
      </c>
      <c r="F133" s="885">
        <v>51</v>
      </c>
      <c r="G133" s="886" t="s">
        <v>606</v>
      </c>
    </row>
    <row r="134" spans="1:7" x14ac:dyDescent="0.25">
      <c r="A134" s="772" t="s">
        <v>449</v>
      </c>
      <c r="B134" s="772">
        <v>152</v>
      </c>
      <c r="C134" s="870">
        <v>220</v>
      </c>
      <c r="D134" s="773">
        <v>349</v>
      </c>
      <c r="E134" s="773">
        <v>329</v>
      </c>
      <c r="F134" s="774">
        <v>19</v>
      </c>
      <c r="G134" s="785" t="s">
        <v>530</v>
      </c>
    </row>
    <row r="135" spans="1:7" x14ac:dyDescent="0.25">
      <c r="A135" s="519" t="s">
        <v>418</v>
      </c>
      <c r="B135" s="521">
        <v>182</v>
      </c>
      <c r="C135" s="817">
        <v>167</v>
      </c>
      <c r="D135" s="522">
        <v>264</v>
      </c>
      <c r="E135" s="647">
        <v>250</v>
      </c>
      <c r="F135" s="524">
        <v>6</v>
      </c>
      <c r="G135" s="784" t="s">
        <v>529</v>
      </c>
    </row>
    <row r="136" spans="1:7" x14ac:dyDescent="0.25">
      <c r="A136" s="772" t="s">
        <v>527</v>
      </c>
      <c r="B136" s="1051">
        <v>334</v>
      </c>
      <c r="C136" s="870" t="s">
        <v>417</v>
      </c>
      <c r="D136" s="773">
        <v>764</v>
      </c>
      <c r="E136" s="775">
        <v>724</v>
      </c>
      <c r="F136" s="774">
        <v>25</v>
      </c>
      <c r="G136" s="785" t="s">
        <v>530</v>
      </c>
    </row>
    <row r="137" spans="1:7" x14ac:dyDescent="0.25">
      <c r="A137" s="519" t="s">
        <v>420</v>
      </c>
      <c r="B137" s="521">
        <v>382</v>
      </c>
      <c r="C137" s="817">
        <v>360</v>
      </c>
      <c r="D137" s="522">
        <v>569</v>
      </c>
      <c r="E137" s="647">
        <v>540</v>
      </c>
      <c r="F137" s="524">
        <v>14</v>
      </c>
      <c r="G137" s="784" t="s">
        <v>529</v>
      </c>
    </row>
    <row r="138" spans="1:7" x14ac:dyDescent="0.25">
      <c r="A138" s="879" t="s">
        <v>685</v>
      </c>
      <c r="B138" s="1050" t="s">
        <v>528</v>
      </c>
      <c r="C138" s="880">
        <v>246</v>
      </c>
      <c r="D138" s="881">
        <v>389</v>
      </c>
      <c r="E138" s="882">
        <v>368</v>
      </c>
      <c r="F138" s="885">
        <v>34</v>
      </c>
      <c r="G138" s="884" t="s">
        <v>606</v>
      </c>
    </row>
    <row r="139" spans="1:7" x14ac:dyDescent="0.25">
      <c r="A139" s="879" t="s">
        <v>686</v>
      </c>
      <c r="B139" s="1050" t="s">
        <v>528</v>
      </c>
      <c r="C139" s="880">
        <v>482</v>
      </c>
      <c r="D139" s="881">
        <v>764</v>
      </c>
      <c r="E139" s="882">
        <v>724</v>
      </c>
      <c r="F139" s="885">
        <v>34</v>
      </c>
      <c r="G139" s="884" t="s">
        <v>606</v>
      </c>
    </row>
    <row r="140" spans="1:7" x14ac:dyDescent="0.25">
      <c r="A140" s="879" t="s">
        <v>687</v>
      </c>
      <c r="B140" s="1050" t="s">
        <v>528</v>
      </c>
      <c r="C140" s="880">
        <v>702</v>
      </c>
      <c r="D140" s="881">
        <v>1111</v>
      </c>
      <c r="E140" s="882">
        <v>1053</v>
      </c>
      <c r="F140" s="885">
        <v>34</v>
      </c>
      <c r="G140" s="884" t="s">
        <v>606</v>
      </c>
    </row>
    <row r="141" spans="1:7" x14ac:dyDescent="0.25">
      <c r="A141" s="879" t="s">
        <v>754</v>
      </c>
      <c r="B141" s="1050" t="s">
        <v>528</v>
      </c>
      <c r="C141" s="880">
        <v>289</v>
      </c>
      <c r="D141" s="881">
        <v>458</v>
      </c>
      <c r="E141" s="882">
        <v>434</v>
      </c>
      <c r="F141" s="885">
        <v>34</v>
      </c>
      <c r="G141" s="884" t="s">
        <v>606</v>
      </c>
    </row>
    <row r="142" spans="1:7" x14ac:dyDescent="0.25">
      <c r="A142" s="519" t="s">
        <v>744</v>
      </c>
      <c r="B142" s="521" t="s">
        <v>528</v>
      </c>
      <c r="C142" s="817">
        <v>746</v>
      </c>
      <c r="D142" s="522">
        <v>1181</v>
      </c>
      <c r="E142" s="647">
        <v>1118</v>
      </c>
      <c r="F142" s="524">
        <v>48</v>
      </c>
      <c r="G142" s="784" t="s">
        <v>529</v>
      </c>
    </row>
    <row r="143" spans="1:7" x14ac:dyDescent="0.25">
      <c r="A143" s="772" t="s">
        <v>498</v>
      </c>
      <c r="B143" s="772">
        <v>273</v>
      </c>
      <c r="C143" s="870" t="s">
        <v>417</v>
      </c>
      <c r="D143" s="773">
        <v>625</v>
      </c>
      <c r="E143" s="773">
        <v>593</v>
      </c>
      <c r="F143" s="774">
        <v>32</v>
      </c>
      <c r="G143" s="785" t="s">
        <v>530</v>
      </c>
    </row>
    <row r="144" spans="1:7" x14ac:dyDescent="0.25">
      <c r="A144" s="519" t="s">
        <v>362</v>
      </c>
      <c r="B144" s="521">
        <v>243</v>
      </c>
      <c r="C144" s="817">
        <v>167</v>
      </c>
      <c r="D144" s="522">
        <v>264</v>
      </c>
      <c r="E144" s="647">
        <v>250</v>
      </c>
      <c r="F144" s="524">
        <v>12</v>
      </c>
      <c r="G144" s="784" t="s">
        <v>529</v>
      </c>
    </row>
    <row r="145" spans="1:7" x14ac:dyDescent="0.25">
      <c r="A145" s="519" t="s">
        <v>351</v>
      </c>
      <c r="B145" s="521">
        <v>243</v>
      </c>
      <c r="C145" s="817">
        <v>198</v>
      </c>
      <c r="D145" s="522">
        <v>313</v>
      </c>
      <c r="E145" s="647">
        <v>297</v>
      </c>
      <c r="F145" s="524">
        <v>42</v>
      </c>
      <c r="G145" s="784" t="s">
        <v>529</v>
      </c>
    </row>
    <row r="146" spans="1:7" x14ac:dyDescent="0.25">
      <c r="A146" s="519" t="s">
        <v>363</v>
      </c>
      <c r="B146" s="521">
        <v>218</v>
      </c>
      <c r="C146" s="817">
        <v>110</v>
      </c>
      <c r="D146" s="522">
        <v>174</v>
      </c>
      <c r="E146" s="647">
        <v>165</v>
      </c>
      <c r="F146" s="524">
        <v>9</v>
      </c>
      <c r="G146" s="784" t="s">
        <v>529</v>
      </c>
    </row>
    <row r="147" spans="1:7" x14ac:dyDescent="0.25">
      <c r="A147" s="519" t="s">
        <v>347</v>
      </c>
      <c r="B147" s="521">
        <v>158</v>
      </c>
      <c r="C147" s="817">
        <v>106</v>
      </c>
      <c r="D147" s="522">
        <v>167</v>
      </c>
      <c r="E147" s="647">
        <v>158</v>
      </c>
      <c r="F147" s="524">
        <v>5</v>
      </c>
      <c r="G147" s="784" t="s">
        <v>529</v>
      </c>
    </row>
    <row r="148" spans="1:7" x14ac:dyDescent="0.25">
      <c r="A148" s="519" t="s">
        <v>354</v>
      </c>
      <c r="B148" s="521">
        <v>618</v>
      </c>
      <c r="C148" s="817">
        <v>658</v>
      </c>
      <c r="D148" s="522">
        <v>1042</v>
      </c>
      <c r="E148" s="647">
        <v>987</v>
      </c>
      <c r="F148" s="524">
        <v>2</v>
      </c>
      <c r="G148" s="784" t="s">
        <v>529</v>
      </c>
    </row>
    <row r="149" spans="1:7" x14ac:dyDescent="0.25">
      <c r="A149" s="772" t="s">
        <v>450</v>
      </c>
      <c r="B149" s="772">
        <v>122</v>
      </c>
      <c r="C149" s="870">
        <v>176</v>
      </c>
      <c r="D149" s="773">
        <v>278</v>
      </c>
      <c r="E149" s="773">
        <v>264</v>
      </c>
      <c r="F149" s="774">
        <v>19</v>
      </c>
      <c r="G149" s="785" t="s">
        <v>530</v>
      </c>
    </row>
    <row r="150" spans="1:7" x14ac:dyDescent="0.25">
      <c r="A150" s="519" t="s">
        <v>356</v>
      </c>
      <c r="B150" s="521">
        <v>267</v>
      </c>
      <c r="C150" s="817">
        <v>198</v>
      </c>
      <c r="D150" s="522">
        <v>313</v>
      </c>
      <c r="E150" s="647">
        <v>297</v>
      </c>
      <c r="F150" s="524">
        <v>45</v>
      </c>
      <c r="G150" s="784" t="s">
        <v>529</v>
      </c>
    </row>
    <row r="151" spans="1:7" x14ac:dyDescent="0.25">
      <c r="A151" s="879" t="s">
        <v>596</v>
      </c>
      <c r="B151" s="878" t="s">
        <v>528</v>
      </c>
      <c r="C151" s="880">
        <v>79</v>
      </c>
      <c r="D151" s="881">
        <v>125</v>
      </c>
      <c r="E151" s="882">
        <v>118</v>
      </c>
      <c r="F151" s="885">
        <v>35</v>
      </c>
      <c r="G151" s="884" t="s">
        <v>606</v>
      </c>
    </row>
    <row r="152" spans="1:7" x14ac:dyDescent="0.25">
      <c r="A152" s="879" t="s">
        <v>597</v>
      </c>
      <c r="B152" s="878" t="s">
        <v>528</v>
      </c>
      <c r="C152" s="880">
        <v>149</v>
      </c>
      <c r="D152" s="881">
        <v>236</v>
      </c>
      <c r="E152" s="882">
        <v>224</v>
      </c>
      <c r="F152" s="885">
        <v>38</v>
      </c>
      <c r="G152" s="884" t="s">
        <v>606</v>
      </c>
    </row>
    <row r="153" spans="1:7" x14ac:dyDescent="0.25">
      <c r="A153" s="772" t="s">
        <v>499</v>
      </c>
      <c r="B153" s="772">
        <v>182</v>
      </c>
      <c r="C153" s="870" t="s">
        <v>417</v>
      </c>
      <c r="D153" s="773">
        <v>417</v>
      </c>
      <c r="E153" s="773">
        <v>395</v>
      </c>
      <c r="F153" s="774">
        <v>28</v>
      </c>
      <c r="G153" s="785" t="s">
        <v>530</v>
      </c>
    </row>
    <row r="154" spans="1:7" x14ac:dyDescent="0.25">
      <c r="A154" s="519" t="s">
        <v>364</v>
      </c>
      <c r="B154" s="521">
        <v>230</v>
      </c>
      <c r="C154" s="817">
        <v>136</v>
      </c>
      <c r="D154" s="522">
        <v>215</v>
      </c>
      <c r="E154" s="647">
        <v>204</v>
      </c>
      <c r="F154" s="524">
        <v>10</v>
      </c>
      <c r="G154" s="784" t="s">
        <v>529</v>
      </c>
    </row>
    <row r="155" spans="1:7" x14ac:dyDescent="0.25">
      <c r="A155" s="776" t="s">
        <v>451</v>
      </c>
      <c r="B155" s="772">
        <v>152</v>
      </c>
      <c r="C155" s="870">
        <v>220</v>
      </c>
      <c r="D155" s="773">
        <v>348</v>
      </c>
      <c r="E155" s="773">
        <v>329</v>
      </c>
      <c r="F155" s="774">
        <v>20</v>
      </c>
      <c r="G155" s="785" t="s">
        <v>530</v>
      </c>
    </row>
    <row r="156" spans="1:7" x14ac:dyDescent="0.25">
      <c r="A156" s="776" t="s">
        <v>500</v>
      </c>
      <c r="B156" s="772">
        <v>200</v>
      </c>
      <c r="C156" s="870" t="s">
        <v>417</v>
      </c>
      <c r="D156" s="773">
        <v>459</v>
      </c>
      <c r="E156" s="773">
        <v>435</v>
      </c>
      <c r="F156" s="774">
        <v>25</v>
      </c>
      <c r="G156" s="785" t="s">
        <v>530</v>
      </c>
    </row>
    <row r="157" spans="1:7" x14ac:dyDescent="0.25">
      <c r="A157" s="519" t="s">
        <v>355</v>
      </c>
      <c r="B157" s="521">
        <v>309</v>
      </c>
      <c r="C157" s="817">
        <v>254</v>
      </c>
      <c r="D157" s="522">
        <v>403</v>
      </c>
      <c r="E157" s="647">
        <v>382</v>
      </c>
      <c r="F157" s="524">
        <v>45</v>
      </c>
      <c r="G157" s="784" t="s">
        <v>529</v>
      </c>
    </row>
    <row r="158" spans="1:7" x14ac:dyDescent="0.25">
      <c r="A158" s="523" t="s">
        <v>372</v>
      </c>
      <c r="B158" s="521">
        <v>382</v>
      </c>
      <c r="C158" s="817">
        <v>360</v>
      </c>
      <c r="D158" s="522">
        <v>569</v>
      </c>
      <c r="E158" s="647">
        <v>540</v>
      </c>
      <c r="F158" s="524">
        <v>14</v>
      </c>
      <c r="G158" s="784" t="s">
        <v>529</v>
      </c>
    </row>
    <row r="159" spans="1:7" x14ac:dyDescent="0.25">
      <c r="A159" s="887" t="s">
        <v>598</v>
      </c>
      <c r="B159" s="878" t="s">
        <v>528</v>
      </c>
      <c r="C159" s="880">
        <v>281</v>
      </c>
      <c r="D159" s="881">
        <v>444</v>
      </c>
      <c r="E159" s="882">
        <v>421</v>
      </c>
      <c r="F159" s="885">
        <v>49</v>
      </c>
      <c r="G159" s="884" t="s">
        <v>606</v>
      </c>
    </row>
    <row r="160" spans="1:7" x14ac:dyDescent="0.25">
      <c r="A160" s="776" t="s">
        <v>501</v>
      </c>
      <c r="B160" s="1197">
        <v>150</v>
      </c>
      <c r="C160" s="870" t="s">
        <v>417</v>
      </c>
      <c r="D160" s="773">
        <v>179</v>
      </c>
      <c r="E160" s="773">
        <v>170</v>
      </c>
      <c r="F160" s="774">
        <v>24</v>
      </c>
      <c r="G160" s="785" t="s">
        <v>530</v>
      </c>
    </row>
    <row r="161" spans="1:7" x14ac:dyDescent="0.25">
      <c r="A161" s="776" t="s">
        <v>502</v>
      </c>
      <c r="B161" s="1197">
        <v>150</v>
      </c>
      <c r="C161" s="870" t="s">
        <v>417</v>
      </c>
      <c r="D161" s="773">
        <v>264</v>
      </c>
      <c r="E161" s="773">
        <v>250</v>
      </c>
      <c r="F161" s="774">
        <v>24</v>
      </c>
      <c r="G161" s="785" t="s">
        <v>530</v>
      </c>
    </row>
    <row r="162" spans="1:7" x14ac:dyDescent="0.25">
      <c r="A162" s="776" t="s">
        <v>503</v>
      </c>
      <c r="B162" s="772">
        <v>230</v>
      </c>
      <c r="C162" s="870" t="s">
        <v>417</v>
      </c>
      <c r="D162" s="773">
        <v>528</v>
      </c>
      <c r="E162" s="773">
        <v>500</v>
      </c>
      <c r="F162" s="774">
        <v>24</v>
      </c>
      <c r="G162" s="785" t="s">
        <v>530</v>
      </c>
    </row>
    <row r="163" spans="1:7" x14ac:dyDescent="0.25">
      <c r="A163" s="887" t="s">
        <v>599</v>
      </c>
      <c r="B163" s="879" t="s">
        <v>528</v>
      </c>
      <c r="C163" s="880">
        <v>807</v>
      </c>
      <c r="D163" s="881">
        <v>1278</v>
      </c>
      <c r="E163" s="881">
        <v>1211</v>
      </c>
      <c r="F163" s="885">
        <v>36</v>
      </c>
      <c r="G163" s="884" t="s">
        <v>606</v>
      </c>
    </row>
    <row r="164" spans="1:7" x14ac:dyDescent="0.25">
      <c r="A164" s="1174" t="s">
        <v>443</v>
      </c>
      <c r="B164" s="519">
        <v>564</v>
      </c>
      <c r="C164" s="817">
        <v>702</v>
      </c>
      <c r="D164" s="522">
        <v>1111</v>
      </c>
      <c r="E164" s="522">
        <v>1053</v>
      </c>
      <c r="F164" s="524">
        <v>33</v>
      </c>
      <c r="G164" s="1175" t="s">
        <v>529</v>
      </c>
    </row>
    <row r="165" spans="1:7" x14ac:dyDescent="0.25">
      <c r="A165" s="523" t="s">
        <v>373</v>
      </c>
      <c r="B165" s="521" t="s">
        <v>528</v>
      </c>
      <c r="C165" s="817">
        <v>614</v>
      </c>
      <c r="D165" s="522">
        <v>972</v>
      </c>
      <c r="E165" s="647">
        <v>922</v>
      </c>
      <c r="F165" s="524">
        <v>15</v>
      </c>
      <c r="G165" s="784" t="s">
        <v>529</v>
      </c>
    </row>
    <row r="166" spans="1:7" x14ac:dyDescent="0.25">
      <c r="A166" s="519" t="s">
        <v>352</v>
      </c>
      <c r="B166" s="521" t="s">
        <v>528</v>
      </c>
      <c r="C166" s="817">
        <v>316</v>
      </c>
      <c r="D166" s="522">
        <v>500</v>
      </c>
      <c r="E166" s="647">
        <v>474</v>
      </c>
      <c r="F166" s="524">
        <v>52</v>
      </c>
      <c r="G166" s="784" t="s">
        <v>529</v>
      </c>
    </row>
    <row r="167" spans="1:7" x14ac:dyDescent="0.25">
      <c r="A167" s="772" t="s">
        <v>391</v>
      </c>
      <c r="B167" s="772">
        <v>340</v>
      </c>
      <c r="C167" s="870">
        <v>492</v>
      </c>
      <c r="D167" s="773">
        <v>778</v>
      </c>
      <c r="E167" s="773">
        <v>737</v>
      </c>
      <c r="F167" s="774">
        <v>50</v>
      </c>
      <c r="G167" s="785" t="s">
        <v>530</v>
      </c>
    </row>
    <row r="168" spans="1:7" x14ac:dyDescent="0.25">
      <c r="A168" s="776" t="s">
        <v>353</v>
      </c>
      <c r="B168" s="772">
        <v>249</v>
      </c>
      <c r="C168" s="870">
        <v>360</v>
      </c>
      <c r="D168" s="773">
        <v>570</v>
      </c>
      <c r="E168" s="773">
        <v>540</v>
      </c>
      <c r="F168" s="774">
        <v>3</v>
      </c>
      <c r="G168" s="823" t="s">
        <v>530</v>
      </c>
    </row>
    <row r="169" spans="1:7" x14ac:dyDescent="0.25">
      <c r="A169" s="776" t="s">
        <v>452</v>
      </c>
      <c r="B169" s="772">
        <v>115</v>
      </c>
      <c r="C169" s="870">
        <v>167</v>
      </c>
      <c r="D169" s="773">
        <v>264</v>
      </c>
      <c r="E169" s="773">
        <v>250</v>
      </c>
      <c r="F169" s="774">
        <v>22</v>
      </c>
      <c r="G169" s="785" t="s">
        <v>530</v>
      </c>
    </row>
    <row r="170" spans="1:7" x14ac:dyDescent="0.25">
      <c r="A170" s="776" t="s">
        <v>453</v>
      </c>
      <c r="B170" s="772">
        <v>158</v>
      </c>
      <c r="C170" s="870">
        <v>228</v>
      </c>
      <c r="D170" s="773">
        <v>362</v>
      </c>
      <c r="E170" s="773">
        <v>343</v>
      </c>
      <c r="F170" s="774">
        <v>19</v>
      </c>
      <c r="G170" s="785" t="s">
        <v>530</v>
      </c>
    </row>
    <row r="171" spans="1:7" x14ac:dyDescent="0.25">
      <c r="A171" s="523" t="s">
        <v>376</v>
      </c>
      <c r="B171" s="521" t="s">
        <v>528</v>
      </c>
      <c r="C171" s="817">
        <v>790</v>
      </c>
      <c r="D171" s="522">
        <v>1250</v>
      </c>
      <c r="E171" s="647">
        <v>1185</v>
      </c>
      <c r="F171" s="524">
        <v>15</v>
      </c>
      <c r="G171" s="784" t="s">
        <v>529</v>
      </c>
    </row>
    <row r="172" spans="1:7" x14ac:dyDescent="0.25">
      <c r="A172" s="776" t="s">
        <v>504</v>
      </c>
      <c r="B172" s="1197">
        <v>60</v>
      </c>
      <c r="C172" s="1196">
        <v>73.599999999999994</v>
      </c>
      <c r="D172" s="773">
        <v>106</v>
      </c>
      <c r="E172" s="773">
        <v>100</v>
      </c>
      <c r="F172" s="774">
        <v>7</v>
      </c>
      <c r="G172" s="785" t="s">
        <v>530</v>
      </c>
    </row>
    <row r="173" spans="1:7" x14ac:dyDescent="0.25">
      <c r="A173" s="776" t="s">
        <v>505</v>
      </c>
      <c r="B173" s="1197">
        <v>60</v>
      </c>
      <c r="C173" s="1196">
        <v>171.6</v>
      </c>
      <c r="D173" s="773">
        <v>209</v>
      </c>
      <c r="E173" s="773">
        <v>198</v>
      </c>
      <c r="F173" s="774">
        <v>7</v>
      </c>
      <c r="G173" s="785" t="s">
        <v>530</v>
      </c>
    </row>
    <row r="174" spans="1:7" x14ac:dyDescent="0.25">
      <c r="A174" s="887" t="s">
        <v>600</v>
      </c>
      <c r="B174" s="879" t="s">
        <v>528</v>
      </c>
      <c r="C174" s="880">
        <v>526</v>
      </c>
      <c r="D174" s="881">
        <v>833</v>
      </c>
      <c r="E174" s="881">
        <v>789</v>
      </c>
      <c r="F174" s="885">
        <v>41</v>
      </c>
      <c r="G174" s="884" t="s">
        <v>606</v>
      </c>
    </row>
    <row r="175" spans="1:7" x14ac:dyDescent="0.25">
      <c r="A175" s="887" t="s">
        <v>601</v>
      </c>
      <c r="B175" s="879" t="s">
        <v>528</v>
      </c>
      <c r="C175" s="880">
        <v>289</v>
      </c>
      <c r="D175" s="881">
        <v>458</v>
      </c>
      <c r="E175" s="881">
        <v>434</v>
      </c>
      <c r="F175" s="885">
        <v>34</v>
      </c>
      <c r="G175" s="884" t="s">
        <v>606</v>
      </c>
    </row>
    <row r="176" spans="1:7" x14ac:dyDescent="0.25">
      <c r="A176" s="519" t="s">
        <v>370</v>
      </c>
      <c r="B176" s="521">
        <v>352</v>
      </c>
      <c r="C176" s="817">
        <v>298</v>
      </c>
      <c r="D176" s="522">
        <v>472</v>
      </c>
      <c r="E176" s="647">
        <v>448</v>
      </c>
      <c r="F176" s="524">
        <v>29</v>
      </c>
      <c r="G176" s="784" t="s">
        <v>529</v>
      </c>
    </row>
    <row r="177" spans="1:7" x14ac:dyDescent="0.25">
      <c r="A177" s="519" t="s">
        <v>365</v>
      </c>
      <c r="B177" s="521">
        <v>158</v>
      </c>
      <c r="C177" s="817">
        <v>40</v>
      </c>
      <c r="D177" s="522">
        <v>64</v>
      </c>
      <c r="E177" s="647">
        <v>61</v>
      </c>
      <c r="F177" s="524">
        <v>8</v>
      </c>
      <c r="G177" s="784" t="s">
        <v>529</v>
      </c>
    </row>
    <row r="178" spans="1:7" x14ac:dyDescent="0.25">
      <c r="A178" s="776" t="s">
        <v>401</v>
      </c>
      <c r="B178" s="772">
        <v>140</v>
      </c>
      <c r="C178" s="870">
        <v>203</v>
      </c>
      <c r="D178" s="773">
        <v>320</v>
      </c>
      <c r="E178" s="773">
        <v>303</v>
      </c>
      <c r="F178" s="774">
        <v>18</v>
      </c>
      <c r="G178" s="785" t="s">
        <v>530</v>
      </c>
    </row>
    <row r="179" spans="1:7" x14ac:dyDescent="0.25">
      <c r="A179" s="776" t="s">
        <v>454</v>
      </c>
      <c r="B179" s="772">
        <v>213</v>
      </c>
      <c r="C179" s="870">
        <v>308</v>
      </c>
      <c r="D179" s="773">
        <v>487</v>
      </c>
      <c r="E179" s="773">
        <v>461</v>
      </c>
      <c r="F179" s="774">
        <v>21</v>
      </c>
      <c r="G179" s="785" t="s">
        <v>530</v>
      </c>
    </row>
    <row r="180" spans="1:7" x14ac:dyDescent="0.25">
      <c r="A180" s="776" t="s">
        <v>506</v>
      </c>
      <c r="B180" s="772">
        <v>267</v>
      </c>
      <c r="C180" s="870" t="s">
        <v>417</v>
      </c>
      <c r="D180" s="773">
        <v>612</v>
      </c>
      <c r="E180" s="773">
        <v>579</v>
      </c>
      <c r="F180" s="774">
        <v>23</v>
      </c>
      <c r="G180" s="785" t="s">
        <v>530</v>
      </c>
    </row>
    <row r="181" spans="1:7" x14ac:dyDescent="0.25">
      <c r="A181" s="519" t="s">
        <v>366</v>
      </c>
      <c r="B181" s="521">
        <v>225</v>
      </c>
      <c r="C181" s="817">
        <v>193</v>
      </c>
      <c r="D181" s="522">
        <v>306</v>
      </c>
      <c r="E181" s="647">
        <v>290</v>
      </c>
      <c r="F181" s="524">
        <v>10</v>
      </c>
      <c r="G181" s="784" t="s">
        <v>529</v>
      </c>
    </row>
    <row r="182" spans="1:7" x14ac:dyDescent="0.25">
      <c r="A182" s="519" t="s">
        <v>371</v>
      </c>
      <c r="B182" s="521">
        <v>370</v>
      </c>
      <c r="C182" s="817">
        <v>439</v>
      </c>
      <c r="D182" s="522">
        <v>694</v>
      </c>
      <c r="E182" s="647">
        <v>658</v>
      </c>
      <c r="F182" s="524">
        <v>43</v>
      </c>
      <c r="G182" s="784" t="s">
        <v>529</v>
      </c>
    </row>
    <row r="183" spans="1:7" x14ac:dyDescent="0.25">
      <c r="A183" s="519" t="s">
        <v>419</v>
      </c>
      <c r="B183" s="521">
        <v>200</v>
      </c>
      <c r="C183" s="817">
        <v>132</v>
      </c>
      <c r="D183" s="522">
        <v>208</v>
      </c>
      <c r="E183" s="647">
        <v>198</v>
      </c>
      <c r="F183" s="524">
        <v>10</v>
      </c>
      <c r="G183" s="784" t="s">
        <v>529</v>
      </c>
    </row>
    <row r="184" spans="1:7" x14ac:dyDescent="0.25">
      <c r="A184" s="519" t="s">
        <v>367</v>
      </c>
      <c r="B184" s="521">
        <v>194</v>
      </c>
      <c r="C184" s="817">
        <v>167</v>
      </c>
      <c r="D184" s="522">
        <v>264</v>
      </c>
      <c r="E184" s="522">
        <v>250</v>
      </c>
      <c r="F184" s="524">
        <v>46</v>
      </c>
      <c r="G184" s="784" t="s">
        <v>529</v>
      </c>
    </row>
    <row r="185" spans="1:7" x14ac:dyDescent="0.25">
      <c r="A185" s="879" t="s">
        <v>602</v>
      </c>
      <c r="B185" s="878" t="s">
        <v>528</v>
      </c>
      <c r="C185" s="880">
        <v>70</v>
      </c>
      <c r="D185" s="881">
        <v>111</v>
      </c>
      <c r="E185" s="882">
        <v>105</v>
      </c>
      <c r="F185" s="885">
        <v>51</v>
      </c>
      <c r="G185" s="884" t="s">
        <v>606</v>
      </c>
    </row>
    <row r="186" spans="1:7" x14ac:dyDescent="0.25">
      <c r="A186" s="519" t="s">
        <v>368</v>
      </c>
      <c r="B186" s="521">
        <v>243</v>
      </c>
      <c r="C186" s="817">
        <v>105</v>
      </c>
      <c r="D186" s="522">
        <v>167</v>
      </c>
      <c r="E186" s="647">
        <v>158</v>
      </c>
      <c r="F186" s="524">
        <v>6</v>
      </c>
      <c r="G186" s="784" t="s">
        <v>529</v>
      </c>
    </row>
    <row r="187" spans="1:7" x14ac:dyDescent="0.25">
      <c r="A187" s="772" t="s">
        <v>507</v>
      </c>
      <c r="B187" s="772">
        <v>346</v>
      </c>
      <c r="C187" s="870" t="s">
        <v>417</v>
      </c>
      <c r="D187" s="773">
        <v>792</v>
      </c>
      <c r="E187" s="773">
        <v>750</v>
      </c>
      <c r="F187" s="774">
        <v>31</v>
      </c>
      <c r="G187" s="785" t="s">
        <v>530</v>
      </c>
    </row>
    <row r="188" spans="1:7" x14ac:dyDescent="0.25">
      <c r="A188" s="772" t="s">
        <v>508</v>
      </c>
      <c r="B188" s="772">
        <v>103</v>
      </c>
      <c r="C188" s="870" t="s">
        <v>417</v>
      </c>
      <c r="D188" s="773">
        <v>237</v>
      </c>
      <c r="E188" s="773">
        <v>224</v>
      </c>
      <c r="F188" s="774">
        <v>26</v>
      </c>
      <c r="G188" s="785" t="s">
        <v>530</v>
      </c>
    </row>
    <row r="189" spans="1:7" x14ac:dyDescent="0.25">
      <c r="A189" s="776" t="s">
        <v>455</v>
      </c>
      <c r="B189" s="772">
        <v>134</v>
      </c>
      <c r="C189" s="870">
        <v>193</v>
      </c>
      <c r="D189" s="773">
        <v>306</v>
      </c>
      <c r="E189" s="773">
        <v>290</v>
      </c>
      <c r="F189" s="774">
        <v>17</v>
      </c>
      <c r="G189" s="785" t="s">
        <v>530</v>
      </c>
    </row>
    <row r="190" spans="1:7" x14ac:dyDescent="0.25">
      <c r="A190" s="887" t="s">
        <v>603</v>
      </c>
      <c r="B190" s="879" t="s">
        <v>528</v>
      </c>
      <c r="C190" s="880">
        <v>596</v>
      </c>
      <c r="D190" s="881">
        <v>944</v>
      </c>
      <c r="E190" s="881">
        <v>895</v>
      </c>
      <c r="F190" s="885">
        <v>40</v>
      </c>
      <c r="G190" s="884" t="s">
        <v>606</v>
      </c>
    </row>
    <row r="191" spans="1:7" x14ac:dyDescent="0.25">
      <c r="A191" s="772" t="s">
        <v>403</v>
      </c>
      <c r="B191" s="772">
        <v>666</v>
      </c>
      <c r="C191" s="870" t="s">
        <v>417</v>
      </c>
      <c r="D191" s="773">
        <v>1528</v>
      </c>
      <c r="E191" s="773">
        <v>1448</v>
      </c>
      <c r="F191" s="774">
        <v>30</v>
      </c>
      <c r="G191" s="785" t="s">
        <v>530</v>
      </c>
    </row>
    <row r="192" spans="1:7" x14ac:dyDescent="0.25">
      <c r="A192" s="772" t="s">
        <v>715</v>
      </c>
      <c r="B192" s="772">
        <v>224</v>
      </c>
      <c r="C192" s="870" t="s">
        <v>417</v>
      </c>
      <c r="D192" s="870">
        <v>514</v>
      </c>
      <c r="E192" s="870">
        <v>487</v>
      </c>
      <c r="F192" s="774">
        <v>44</v>
      </c>
      <c r="G192" s="785" t="s">
        <v>530</v>
      </c>
    </row>
    <row r="193" spans="1:7" x14ac:dyDescent="0.25">
      <c r="A193" s="772" t="s">
        <v>716</v>
      </c>
      <c r="B193" s="772">
        <v>224</v>
      </c>
      <c r="C193" s="870" t="s">
        <v>417</v>
      </c>
      <c r="D193" s="870">
        <v>514</v>
      </c>
      <c r="E193" s="870">
        <v>487</v>
      </c>
      <c r="F193" s="774">
        <v>44</v>
      </c>
      <c r="G193" s="785" t="s">
        <v>530</v>
      </c>
    </row>
    <row r="194" spans="1:7" x14ac:dyDescent="0.25">
      <c r="A194" s="523" t="s">
        <v>377</v>
      </c>
      <c r="B194" s="521" t="s">
        <v>528</v>
      </c>
      <c r="C194" s="817">
        <v>658</v>
      </c>
      <c r="D194" s="522">
        <v>1042</v>
      </c>
      <c r="E194" s="647">
        <v>987</v>
      </c>
      <c r="F194" s="524">
        <v>15</v>
      </c>
      <c r="G194" s="784" t="s">
        <v>529</v>
      </c>
    </row>
    <row r="195" spans="1:7" x14ac:dyDescent="0.25">
      <c r="A195" s="776" t="s">
        <v>510</v>
      </c>
      <c r="B195" s="772">
        <v>103</v>
      </c>
      <c r="C195" s="870">
        <v>149</v>
      </c>
      <c r="D195" s="773">
        <v>237</v>
      </c>
      <c r="E195" s="773">
        <v>224</v>
      </c>
      <c r="F195" s="774">
        <v>22</v>
      </c>
      <c r="G195" s="785" t="s">
        <v>530</v>
      </c>
    </row>
    <row r="196" spans="1:7" x14ac:dyDescent="0.25">
      <c r="A196" s="776" t="s">
        <v>717</v>
      </c>
      <c r="B196" s="772">
        <v>703</v>
      </c>
      <c r="C196" s="870" t="s">
        <v>417</v>
      </c>
      <c r="D196" s="870">
        <v>1611</v>
      </c>
      <c r="E196" s="870">
        <v>1526</v>
      </c>
      <c r="F196" s="774">
        <v>30</v>
      </c>
      <c r="G196" s="785" t="s">
        <v>530</v>
      </c>
    </row>
    <row r="197" spans="1:7" x14ac:dyDescent="0.25">
      <c r="A197" s="519" t="s">
        <v>369</v>
      </c>
      <c r="B197" s="521">
        <v>170</v>
      </c>
      <c r="C197" s="817">
        <v>167</v>
      </c>
      <c r="D197" s="522">
        <v>264</v>
      </c>
      <c r="E197" s="522">
        <v>250</v>
      </c>
      <c r="F197" s="524">
        <v>6</v>
      </c>
      <c r="G197" s="784" t="s">
        <v>529</v>
      </c>
    </row>
    <row r="198" spans="1:7" x14ac:dyDescent="0.25">
      <c r="A198" s="519"/>
      <c r="B198" s="521"/>
      <c r="C198" s="817"/>
      <c r="D198" s="522"/>
      <c r="E198" s="522"/>
      <c r="F198" s="524"/>
      <c r="G198" s="784"/>
    </row>
    <row r="199" spans="1:7" x14ac:dyDescent="0.25">
      <c r="A199" s="519"/>
      <c r="B199" s="521"/>
      <c r="C199" s="522"/>
      <c r="D199" s="522"/>
      <c r="E199" s="522"/>
      <c r="F199" s="524"/>
      <c r="G199" s="784"/>
    </row>
    <row r="205" spans="1:7" x14ac:dyDescent="0.25">
      <c r="A205" s="651" t="s">
        <v>758</v>
      </c>
      <c r="B205" s="652"/>
      <c r="C205" s="653"/>
      <c r="D205" s="618"/>
      <c r="E205" s="653"/>
      <c r="F205" s="654"/>
    </row>
    <row r="206" spans="1:7" ht="45" x14ac:dyDescent="0.25">
      <c r="A206" s="517" t="s">
        <v>345</v>
      </c>
      <c r="B206" s="518" t="s">
        <v>545</v>
      </c>
      <c r="C206" s="525" t="s">
        <v>604</v>
      </c>
      <c r="D206" s="525" t="s">
        <v>588</v>
      </c>
      <c r="E206" s="525" t="s">
        <v>605</v>
      </c>
      <c r="F206" s="520" t="s">
        <v>406</v>
      </c>
    </row>
    <row r="207" spans="1:7" x14ac:dyDescent="0.25">
      <c r="A207" s="879" t="s">
        <v>681</v>
      </c>
      <c r="B207" s="1222" t="s">
        <v>528</v>
      </c>
      <c r="C207" s="881">
        <v>149</v>
      </c>
      <c r="D207" s="881">
        <v>236</v>
      </c>
      <c r="E207" s="881">
        <v>224</v>
      </c>
      <c r="F207" s="883">
        <v>49</v>
      </c>
      <c r="G207" s="884" t="s">
        <v>606</v>
      </c>
    </row>
    <row r="208" spans="1:7" x14ac:dyDescent="0.25">
      <c r="A208" s="879" t="s">
        <v>682</v>
      </c>
      <c r="B208" s="1222" t="s">
        <v>528</v>
      </c>
      <c r="C208" s="881">
        <v>281</v>
      </c>
      <c r="D208" s="881">
        <v>444</v>
      </c>
      <c r="E208" s="881">
        <v>421</v>
      </c>
      <c r="F208" s="883">
        <v>49</v>
      </c>
      <c r="G208" s="884" t="s">
        <v>606</v>
      </c>
    </row>
    <row r="209" spans="1:7" x14ac:dyDescent="0.25">
      <c r="A209" s="519" t="s">
        <v>348</v>
      </c>
      <c r="B209" s="519">
        <v>467</v>
      </c>
      <c r="C209" s="522">
        <v>457</v>
      </c>
      <c r="D209" s="522">
        <v>722</v>
      </c>
      <c r="E209" s="522">
        <v>685</v>
      </c>
      <c r="F209" s="520">
        <v>1</v>
      </c>
      <c r="G209" s="784" t="s">
        <v>529</v>
      </c>
    </row>
    <row r="210" spans="1:7" x14ac:dyDescent="0.25">
      <c r="A210" s="772" t="s">
        <v>441</v>
      </c>
      <c r="B210" s="772">
        <v>370</v>
      </c>
      <c r="C210" s="773">
        <v>536</v>
      </c>
      <c r="D210" s="773">
        <v>848</v>
      </c>
      <c r="E210" s="773">
        <v>803</v>
      </c>
      <c r="F210" s="774">
        <v>16</v>
      </c>
      <c r="G210" s="785" t="s">
        <v>530</v>
      </c>
    </row>
    <row r="211" spans="1:7" x14ac:dyDescent="0.25">
      <c r="A211" s="519" t="s">
        <v>357</v>
      </c>
      <c r="B211" s="519">
        <v>249</v>
      </c>
      <c r="C211" s="522">
        <v>184</v>
      </c>
      <c r="D211" s="522">
        <v>292</v>
      </c>
      <c r="E211" s="522">
        <v>277</v>
      </c>
      <c r="F211" s="524">
        <v>12</v>
      </c>
      <c r="G211" s="784" t="s">
        <v>529</v>
      </c>
    </row>
    <row r="212" spans="1:7" x14ac:dyDescent="0.25">
      <c r="A212" s="519" t="s">
        <v>358</v>
      </c>
      <c r="B212" s="519">
        <v>237</v>
      </c>
      <c r="C212" s="522">
        <v>176</v>
      </c>
      <c r="D212" s="522">
        <v>278</v>
      </c>
      <c r="E212" s="522">
        <v>264</v>
      </c>
      <c r="F212" s="524">
        <v>10</v>
      </c>
      <c r="G212" s="784" t="s">
        <v>529</v>
      </c>
    </row>
    <row r="213" spans="1:7" x14ac:dyDescent="0.25">
      <c r="A213" s="519" t="s">
        <v>359</v>
      </c>
      <c r="B213" s="519">
        <v>146</v>
      </c>
      <c r="C213" s="522">
        <v>128</v>
      </c>
      <c r="D213" s="522">
        <v>201</v>
      </c>
      <c r="E213" s="522">
        <v>191</v>
      </c>
      <c r="F213" s="524">
        <v>6</v>
      </c>
      <c r="G213" s="784" t="s">
        <v>529</v>
      </c>
    </row>
    <row r="214" spans="1:7" x14ac:dyDescent="0.25">
      <c r="A214" s="772" t="s">
        <v>440</v>
      </c>
      <c r="B214" s="772">
        <v>273</v>
      </c>
      <c r="C214" s="773">
        <v>395</v>
      </c>
      <c r="D214" s="773">
        <v>625</v>
      </c>
      <c r="E214" s="773">
        <v>593</v>
      </c>
      <c r="F214" s="774">
        <v>47</v>
      </c>
      <c r="G214" s="785" t="s">
        <v>530</v>
      </c>
    </row>
    <row r="215" spans="1:7" x14ac:dyDescent="0.25">
      <c r="A215" s="519" t="s">
        <v>497</v>
      </c>
      <c r="B215" s="519">
        <v>230</v>
      </c>
      <c r="C215" s="522">
        <v>220</v>
      </c>
      <c r="D215" s="522">
        <v>347</v>
      </c>
      <c r="E215" s="522">
        <v>329</v>
      </c>
      <c r="F215" s="524">
        <v>11</v>
      </c>
      <c r="G215" s="784" t="s">
        <v>529</v>
      </c>
    </row>
    <row r="216" spans="1:7" x14ac:dyDescent="0.25">
      <c r="A216" s="519" t="s">
        <v>360</v>
      </c>
      <c r="B216" s="519">
        <v>213</v>
      </c>
      <c r="C216" s="522">
        <v>158</v>
      </c>
      <c r="D216" s="522">
        <v>250</v>
      </c>
      <c r="E216" s="522">
        <v>237</v>
      </c>
      <c r="F216" s="524">
        <v>12</v>
      </c>
      <c r="G216" s="784" t="s">
        <v>529</v>
      </c>
    </row>
    <row r="217" spans="1:7" x14ac:dyDescent="0.25">
      <c r="A217" s="519" t="s">
        <v>346</v>
      </c>
      <c r="B217" s="519">
        <v>158</v>
      </c>
      <c r="C217" s="522">
        <v>106</v>
      </c>
      <c r="D217" s="522">
        <v>167</v>
      </c>
      <c r="E217" s="522">
        <v>158</v>
      </c>
      <c r="F217" s="524">
        <v>5</v>
      </c>
      <c r="G217" s="784" t="s">
        <v>529</v>
      </c>
    </row>
    <row r="218" spans="1:7" x14ac:dyDescent="0.25">
      <c r="A218" s="519" t="s">
        <v>349</v>
      </c>
      <c r="B218" s="519">
        <v>243</v>
      </c>
      <c r="C218" s="522">
        <v>198</v>
      </c>
      <c r="D218" s="522">
        <v>313</v>
      </c>
      <c r="E218" s="522">
        <v>297</v>
      </c>
      <c r="F218" s="524">
        <v>42</v>
      </c>
      <c r="G218" s="784" t="s">
        <v>529</v>
      </c>
    </row>
    <row r="219" spans="1:7" x14ac:dyDescent="0.25">
      <c r="A219" s="519" t="s">
        <v>743</v>
      </c>
      <c r="B219" s="519" t="s">
        <v>528</v>
      </c>
      <c r="C219" s="522">
        <v>746</v>
      </c>
      <c r="D219" s="522">
        <v>1181</v>
      </c>
      <c r="E219" s="522">
        <v>1118</v>
      </c>
      <c r="F219" s="524">
        <v>48</v>
      </c>
      <c r="G219" s="784" t="s">
        <v>529</v>
      </c>
    </row>
    <row r="220" spans="1:7" x14ac:dyDescent="0.25">
      <c r="A220" s="519" t="s">
        <v>390</v>
      </c>
      <c r="B220" s="519">
        <v>515</v>
      </c>
      <c r="C220" s="522">
        <v>746</v>
      </c>
      <c r="D220" s="522">
        <v>1181</v>
      </c>
      <c r="E220" s="522">
        <v>1118</v>
      </c>
      <c r="F220" s="524">
        <v>13</v>
      </c>
      <c r="G220" s="784" t="s">
        <v>529</v>
      </c>
    </row>
    <row r="221" spans="1:7" x14ac:dyDescent="0.25">
      <c r="A221" s="879" t="s">
        <v>592</v>
      </c>
      <c r="B221" s="881" t="s">
        <v>528</v>
      </c>
      <c r="C221" s="881">
        <v>1053</v>
      </c>
      <c r="D221" s="881">
        <v>1667</v>
      </c>
      <c r="E221" s="881">
        <v>1579</v>
      </c>
      <c r="F221" s="885">
        <v>39</v>
      </c>
      <c r="G221" s="884" t="s">
        <v>606</v>
      </c>
    </row>
    <row r="222" spans="1:7" x14ac:dyDescent="0.25">
      <c r="A222" s="519" t="s">
        <v>433</v>
      </c>
      <c r="B222" s="522">
        <v>164</v>
      </c>
      <c r="C222" s="522">
        <v>154</v>
      </c>
      <c r="D222" s="522">
        <v>243</v>
      </c>
      <c r="E222" s="522">
        <v>231</v>
      </c>
      <c r="F222" s="524">
        <v>6</v>
      </c>
      <c r="G222" s="784" t="s">
        <v>529</v>
      </c>
    </row>
    <row r="223" spans="1:7" x14ac:dyDescent="0.25">
      <c r="A223" s="879" t="s">
        <v>593</v>
      </c>
      <c r="B223" s="881" t="s">
        <v>528</v>
      </c>
      <c r="C223" s="881">
        <v>596</v>
      </c>
      <c r="D223" s="881">
        <v>944</v>
      </c>
      <c r="E223" s="881">
        <v>895</v>
      </c>
      <c r="F223" s="885">
        <v>37</v>
      </c>
      <c r="G223" s="884" t="s">
        <v>606</v>
      </c>
    </row>
    <row r="224" spans="1:7" x14ac:dyDescent="0.25">
      <c r="A224" s="523" t="s">
        <v>374</v>
      </c>
      <c r="B224" s="519" t="s">
        <v>528</v>
      </c>
      <c r="C224" s="522">
        <v>456</v>
      </c>
      <c r="D224" s="522">
        <v>722</v>
      </c>
      <c r="E224" s="522">
        <v>684</v>
      </c>
      <c r="F224" s="524">
        <v>15</v>
      </c>
      <c r="G224" s="784" t="s">
        <v>529</v>
      </c>
    </row>
    <row r="225" spans="1:7" x14ac:dyDescent="0.25">
      <c r="A225" s="519" t="s">
        <v>350</v>
      </c>
      <c r="B225" s="519" t="s">
        <v>528</v>
      </c>
      <c r="C225" s="522">
        <v>316</v>
      </c>
      <c r="D225" s="522">
        <v>500</v>
      </c>
      <c r="E225" s="522">
        <v>474</v>
      </c>
      <c r="F225" s="524">
        <v>4</v>
      </c>
      <c r="G225" s="784" t="s">
        <v>529</v>
      </c>
    </row>
    <row r="226" spans="1:7" x14ac:dyDescent="0.25">
      <c r="A226" s="519" t="s">
        <v>361</v>
      </c>
      <c r="B226" s="519">
        <v>206</v>
      </c>
      <c r="C226" s="522">
        <v>128</v>
      </c>
      <c r="D226" s="522">
        <v>201</v>
      </c>
      <c r="E226" s="522">
        <v>191</v>
      </c>
      <c r="F226" s="524">
        <v>46</v>
      </c>
      <c r="G226" s="784" t="s">
        <v>529</v>
      </c>
    </row>
    <row r="227" spans="1:7" x14ac:dyDescent="0.25">
      <c r="A227" s="523" t="s">
        <v>375</v>
      </c>
      <c r="B227" s="519" t="s">
        <v>528</v>
      </c>
      <c r="C227" s="522">
        <v>448</v>
      </c>
      <c r="D227" s="522">
        <v>708</v>
      </c>
      <c r="E227" s="522">
        <v>672</v>
      </c>
      <c r="F227" s="524">
        <v>15</v>
      </c>
      <c r="G227" s="784" t="s">
        <v>529</v>
      </c>
    </row>
    <row r="228" spans="1:7" x14ac:dyDescent="0.25">
      <c r="A228" s="879" t="s">
        <v>683</v>
      </c>
      <c r="B228" s="879" t="s">
        <v>528</v>
      </c>
      <c r="C228" s="881">
        <v>75</v>
      </c>
      <c r="D228" s="881">
        <v>118</v>
      </c>
      <c r="E228" s="881">
        <v>112</v>
      </c>
      <c r="F228" s="885">
        <v>51</v>
      </c>
      <c r="G228" s="886" t="s">
        <v>606</v>
      </c>
    </row>
    <row r="229" spans="1:7" x14ac:dyDescent="0.25">
      <c r="A229" s="879" t="s">
        <v>684</v>
      </c>
      <c r="B229" s="879" t="s">
        <v>528</v>
      </c>
      <c r="C229" s="881">
        <v>140</v>
      </c>
      <c r="D229" s="881">
        <v>222</v>
      </c>
      <c r="E229" s="881">
        <v>211</v>
      </c>
      <c r="F229" s="885">
        <v>51</v>
      </c>
      <c r="G229" s="886" t="s">
        <v>606</v>
      </c>
    </row>
    <row r="230" spans="1:7" x14ac:dyDescent="0.25">
      <c r="A230" s="772" t="s">
        <v>449</v>
      </c>
      <c r="B230" s="772">
        <v>152</v>
      </c>
      <c r="C230" s="773">
        <v>220</v>
      </c>
      <c r="D230" s="773">
        <v>349</v>
      </c>
      <c r="E230" s="773">
        <v>329</v>
      </c>
      <c r="F230" s="774">
        <v>19</v>
      </c>
      <c r="G230" s="785" t="s">
        <v>530</v>
      </c>
    </row>
    <row r="231" spans="1:7" x14ac:dyDescent="0.25">
      <c r="A231" s="519" t="s">
        <v>418</v>
      </c>
      <c r="B231" s="519">
        <v>182</v>
      </c>
      <c r="C231" s="522">
        <v>167</v>
      </c>
      <c r="D231" s="522">
        <v>264</v>
      </c>
      <c r="E231" s="522">
        <v>250</v>
      </c>
      <c r="F231" s="524">
        <v>6</v>
      </c>
      <c r="G231" s="784" t="s">
        <v>529</v>
      </c>
    </row>
    <row r="232" spans="1:7" x14ac:dyDescent="0.25">
      <c r="A232" s="772" t="s">
        <v>527</v>
      </c>
      <c r="B232" s="1224" t="s">
        <v>417</v>
      </c>
      <c r="C232" s="870" t="s">
        <v>417</v>
      </c>
      <c r="D232" s="870" t="s">
        <v>417</v>
      </c>
      <c r="E232" s="870" t="s">
        <v>417</v>
      </c>
      <c r="F232" s="774">
        <v>25</v>
      </c>
      <c r="G232" s="785" t="s">
        <v>530</v>
      </c>
    </row>
    <row r="233" spans="1:7" x14ac:dyDescent="0.25">
      <c r="A233" s="519" t="s">
        <v>420</v>
      </c>
      <c r="B233" s="519">
        <v>382</v>
      </c>
      <c r="C233" s="522">
        <v>360</v>
      </c>
      <c r="D233" s="522">
        <v>569</v>
      </c>
      <c r="E233" s="522">
        <v>540</v>
      </c>
      <c r="F233" s="524">
        <v>14</v>
      </c>
      <c r="G233" s="784" t="s">
        <v>529</v>
      </c>
    </row>
    <row r="234" spans="1:7" x14ac:dyDescent="0.25">
      <c r="A234" s="879" t="s">
        <v>685</v>
      </c>
      <c r="B234" s="1222" t="s">
        <v>528</v>
      </c>
      <c r="C234" s="881">
        <v>246</v>
      </c>
      <c r="D234" s="881">
        <v>389</v>
      </c>
      <c r="E234" s="881">
        <v>368</v>
      </c>
      <c r="F234" s="885">
        <v>34</v>
      </c>
      <c r="G234" s="884" t="s">
        <v>606</v>
      </c>
    </row>
    <row r="235" spans="1:7" x14ac:dyDescent="0.25">
      <c r="A235" s="879" t="s">
        <v>686</v>
      </c>
      <c r="B235" s="1222" t="s">
        <v>528</v>
      </c>
      <c r="C235" s="881">
        <v>482</v>
      </c>
      <c r="D235" s="881">
        <v>764</v>
      </c>
      <c r="E235" s="881">
        <v>724</v>
      </c>
      <c r="F235" s="885">
        <v>34</v>
      </c>
      <c r="G235" s="884" t="s">
        <v>606</v>
      </c>
    </row>
    <row r="236" spans="1:7" x14ac:dyDescent="0.25">
      <c r="A236" s="879" t="s">
        <v>687</v>
      </c>
      <c r="B236" s="1222" t="s">
        <v>528</v>
      </c>
      <c r="C236" s="881">
        <v>702</v>
      </c>
      <c r="D236" s="881">
        <v>1111</v>
      </c>
      <c r="E236" s="881">
        <v>1053</v>
      </c>
      <c r="F236" s="885">
        <v>34</v>
      </c>
      <c r="G236" s="884" t="s">
        <v>606</v>
      </c>
    </row>
    <row r="237" spans="1:7" x14ac:dyDescent="0.25">
      <c r="A237" s="879" t="s">
        <v>754</v>
      </c>
      <c r="B237" s="1222" t="s">
        <v>528</v>
      </c>
      <c r="C237" s="881">
        <v>289</v>
      </c>
      <c r="D237" s="881">
        <v>458</v>
      </c>
      <c r="E237" s="881">
        <v>434</v>
      </c>
      <c r="F237" s="885">
        <v>34</v>
      </c>
      <c r="G237" s="884" t="s">
        <v>606</v>
      </c>
    </row>
    <row r="238" spans="1:7" x14ac:dyDescent="0.25">
      <c r="A238" s="519" t="s">
        <v>744</v>
      </c>
      <c r="B238" s="519" t="s">
        <v>528</v>
      </c>
      <c r="C238" s="522">
        <v>746</v>
      </c>
      <c r="D238" s="522">
        <v>1181</v>
      </c>
      <c r="E238" s="522">
        <v>1118</v>
      </c>
      <c r="F238" s="524">
        <v>48</v>
      </c>
      <c r="G238" s="784" t="s">
        <v>529</v>
      </c>
    </row>
    <row r="239" spans="1:7" x14ac:dyDescent="0.25">
      <c r="A239" s="772" t="s">
        <v>498</v>
      </c>
      <c r="B239" s="1224" t="s">
        <v>417</v>
      </c>
      <c r="C239" s="870" t="s">
        <v>417</v>
      </c>
      <c r="D239" s="870" t="s">
        <v>417</v>
      </c>
      <c r="E239" s="870" t="s">
        <v>417</v>
      </c>
      <c r="F239" s="774">
        <v>32</v>
      </c>
      <c r="G239" s="785" t="s">
        <v>530</v>
      </c>
    </row>
    <row r="240" spans="1:7" x14ac:dyDescent="0.25">
      <c r="A240" s="519" t="s">
        <v>362</v>
      </c>
      <c r="B240" s="519">
        <v>243</v>
      </c>
      <c r="C240" s="522">
        <v>167</v>
      </c>
      <c r="D240" s="522">
        <v>264</v>
      </c>
      <c r="E240" s="522">
        <v>250</v>
      </c>
      <c r="F240" s="524">
        <v>12</v>
      </c>
      <c r="G240" s="784" t="s">
        <v>529</v>
      </c>
    </row>
    <row r="241" spans="1:7" x14ac:dyDescent="0.25">
      <c r="A241" s="519" t="s">
        <v>351</v>
      </c>
      <c r="B241" s="519">
        <v>243</v>
      </c>
      <c r="C241" s="522">
        <v>198</v>
      </c>
      <c r="D241" s="522">
        <v>313</v>
      </c>
      <c r="E241" s="522">
        <v>297</v>
      </c>
      <c r="F241" s="524">
        <v>42</v>
      </c>
      <c r="G241" s="784" t="s">
        <v>529</v>
      </c>
    </row>
    <row r="242" spans="1:7" x14ac:dyDescent="0.25">
      <c r="A242" s="519" t="s">
        <v>363</v>
      </c>
      <c r="B242" s="519">
        <v>218</v>
      </c>
      <c r="C242" s="522">
        <v>110</v>
      </c>
      <c r="D242" s="522">
        <v>174</v>
      </c>
      <c r="E242" s="522">
        <v>165</v>
      </c>
      <c r="F242" s="524">
        <v>9</v>
      </c>
      <c r="G242" s="784" t="s">
        <v>529</v>
      </c>
    </row>
    <row r="243" spans="1:7" x14ac:dyDescent="0.25">
      <c r="A243" s="519" t="s">
        <v>347</v>
      </c>
      <c r="B243" s="519">
        <v>158</v>
      </c>
      <c r="C243" s="522">
        <v>106</v>
      </c>
      <c r="D243" s="522">
        <v>167</v>
      </c>
      <c r="E243" s="522">
        <v>158</v>
      </c>
      <c r="F243" s="524">
        <v>5</v>
      </c>
      <c r="G243" s="784" t="s">
        <v>529</v>
      </c>
    </row>
    <row r="244" spans="1:7" x14ac:dyDescent="0.25">
      <c r="A244" s="519" t="s">
        <v>354</v>
      </c>
      <c r="B244" s="519">
        <v>618</v>
      </c>
      <c r="C244" s="522">
        <v>658</v>
      </c>
      <c r="D244" s="522">
        <v>1042</v>
      </c>
      <c r="E244" s="522">
        <v>987</v>
      </c>
      <c r="F244" s="524">
        <v>2</v>
      </c>
      <c r="G244" s="784" t="s">
        <v>529</v>
      </c>
    </row>
    <row r="245" spans="1:7" x14ac:dyDescent="0.25">
      <c r="A245" s="772" t="s">
        <v>450</v>
      </c>
      <c r="B245" s="772">
        <v>122</v>
      </c>
      <c r="C245" s="773">
        <v>176</v>
      </c>
      <c r="D245" s="773">
        <v>278</v>
      </c>
      <c r="E245" s="773">
        <v>264</v>
      </c>
      <c r="F245" s="774">
        <v>19</v>
      </c>
      <c r="G245" s="785" t="s">
        <v>530</v>
      </c>
    </row>
    <row r="246" spans="1:7" x14ac:dyDescent="0.25">
      <c r="A246" s="519" t="s">
        <v>356</v>
      </c>
      <c r="B246" s="519">
        <v>267</v>
      </c>
      <c r="C246" s="522">
        <v>198</v>
      </c>
      <c r="D246" s="522">
        <v>313</v>
      </c>
      <c r="E246" s="522">
        <v>297</v>
      </c>
      <c r="F246" s="524">
        <v>45</v>
      </c>
      <c r="G246" s="784" t="s">
        <v>529</v>
      </c>
    </row>
    <row r="247" spans="1:7" x14ac:dyDescent="0.25">
      <c r="A247" s="879" t="s">
        <v>596</v>
      </c>
      <c r="B247" s="879" t="s">
        <v>528</v>
      </c>
      <c r="C247" s="881">
        <v>79</v>
      </c>
      <c r="D247" s="881">
        <v>125</v>
      </c>
      <c r="E247" s="881">
        <v>118</v>
      </c>
      <c r="F247" s="885">
        <v>35</v>
      </c>
      <c r="G247" s="884" t="s">
        <v>606</v>
      </c>
    </row>
    <row r="248" spans="1:7" x14ac:dyDescent="0.25">
      <c r="A248" s="879" t="s">
        <v>597</v>
      </c>
      <c r="B248" s="879" t="s">
        <v>528</v>
      </c>
      <c r="C248" s="881">
        <v>149</v>
      </c>
      <c r="D248" s="881">
        <v>236</v>
      </c>
      <c r="E248" s="881">
        <v>224</v>
      </c>
      <c r="F248" s="885">
        <v>38</v>
      </c>
      <c r="G248" s="884" t="s">
        <v>606</v>
      </c>
    </row>
    <row r="249" spans="1:7" x14ac:dyDescent="0.25">
      <c r="A249" s="772" t="s">
        <v>499</v>
      </c>
      <c r="B249" s="1224" t="s">
        <v>417</v>
      </c>
      <c r="C249" s="870" t="s">
        <v>417</v>
      </c>
      <c r="D249" s="870" t="s">
        <v>417</v>
      </c>
      <c r="E249" s="870" t="s">
        <v>417</v>
      </c>
      <c r="F249" s="774">
        <v>28</v>
      </c>
      <c r="G249" s="785" t="s">
        <v>530</v>
      </c>
    </row>
    <row r="250" spans="1:7" x14ac:dyDescent="0.25">
      <c r="A250" s="519" t="s">
        <v>364</v>
      </c>
      <c r="B250" s="519">
        <v>230</v>
      </c>
      <c r="C250" s="522">
        <v>136</v>
      </c>
      <c r="D250" s="522">
        <v>215</v>
      </c>
      <c r="E250" s="522">
        <v>204</v>
      </c>
      <c r="F250" s="524">
        <v>10</v>
      </c>
      <c r="G250" s="784" t="s">
        <v>529</v>
      </c>
    </row>
    <row r="251" spans="1:7" x14ac:dyDescent="0.25">
      <c r="A251" s="776" t="s">
        <v>451</v>
      </c>
      <c r="B251" s="772">
        <v>152</v>
      </c>
      <c r="C251" s="773">
        <v>220</v>
      </c>
      <c r="D251" s="773">
        <v>348</v>
      </c>
      <c r="E251" s="773">
        <v>329</v>
      </c>
      <c r="F251" s="774">
        <v>20</v>
      </c>
      <c r="G251" s="785" t="s">
        <v>530</v>
      </c>
    </row>
    <row r="252" spans="1:7" x14ac:dyDescent="0.25">
      <c r="A252" s="776" t="s">
        <v>500</v>
      </c>
      <c r="B252" s="1224" t="s">
        <v>417</v>
      </c>
      <c r="C252" s="870" t="s">
        <v>417</v>
      </c>
      <c r="D252" s="870" t="s">
        <v>417</v>
      </c>
      <c r="E252" s="870" t="s">
        <v>417</v>
      </c>
      <c r="F252" s="774">
        <v>25</v>
      </c>
      <c r="G252" s="785" t="s">
        <v>530</v>
      </c>
    </row>
    <row r="253" spans="1:7" x14ac:dyDescent="0.25">
      <c r="A253" s="519" t="s">
        <v>355</v>
      </c>
      <c r="B253" s="519">
        <v>309</v>
      </c>
      <c r="C253" s="522">
        <v>254</v>
      </c>
      <c r="D253" s="522">
        <v>403</v>
      </c>
      <c r="E253" s="522">
        <v>382</v>
      </c>
      <c r="F253" s="524">
        <v>45</v>
      </c>
      <c r="G253" s="784" t="s">
        <v>529</v>
      </c>
    </row>
    <row r="254" spans="1:7" x14ac:dyDescent="0.25">
      <c r="A254" s="523" t="s">
        <v>372</v>
      </c>
      <c r="B254" s="519">
        <v>382</v>
      </c>
      <c r="C254" s="522">
        <v>360</v>
      </c>
      <c r="D254" s="522">
        <v>569</v>
      </c>
      <c r="E254" s="522">
        <v>540</v>
      </c>
      <c r="F254" s="524">
        <v>14</v>
      </c>
      <c r="G254" s="784" t="s">
        <v>529</v>
      </c>
    </row>
    <row r="255" spans="1:7" x14ac:dyDescent="0.25">
      <c r="A255" s="887" t="s">
        <v>598</v>
      </c>
      <c r="B255" s="879" t="s">
        <v>528</v>
      </c>
      <c r="C255" s="881">
        <v>281</v>
      </c>
      <c r="D255" s="881">
        <v>444</v>
      </c>
      <c r="E255" s="881">
        <v>421</v>
      </c>
      <c r="F255" s="885">
        <v>49</v>
      </c>
      <c r="G255" s="884" t="s">
        <v>606</v>
      </c>
    </row>
    <row r="256" spans="1:7" x14ac:dyDescent="0.25">
      <c r="A256" s="776" t="s">
        <v>501</v>
      </c>
      <c r="B256" s="1224" t="s">
        <v>417</v>
      </c>
      <c r="C256" s="870" t="s">
        <v>417</v>
      </c>
      <c r="D256" s="870" t="s">
        <v>417</v>
      </c>
      <c r="E256" s="870" t="s">
        <v>417</v>
      </c>
      <c r="F256" s="774">
        <v>24</v>
      </c>
      <c r="G256" s="785" t="s">
        <v>530</v>
      </c>
    </row>
    <row r="257" spans="1:7" x14ac:dyDescent="0.25">
      <c r="A257" s="776" t="s">
        <v>502</v>
      </c>
      <c r="B257" s="1224" t="s">
        <v>417</v>
      </c>
      <c r="C257" s="870" t="s">
        <v>417</v>
      </c>
      <c r="D257" s="870" t="s">
        <v>417</v>
      </c>
      <c r="E257" s="870" t="s">
        <v>417</v>
      </c>
      <c r="F257" s="774">
        <v>24</v>
      </c>
      <c r="G257" s="785" t="s">
        <v>530</v>
      </c>
    </row>
    <row r="258" spans="1:7" x14ac:dyDescent="0.25">
      <c r="A258" s="776" t="s">
        <v>503</v>
      </c>
      <c r="B258" s="1224" t="s">
        <v>417</v>
      </c>
      <c r="C258" s="870" t="s">
        <v>417</v>
      </c>
      <c r="D258" s="870" t="s">
        <v>417</v>
      </c>
      <c r="E258" s="870" t="s">
        <v>417</v>
      </c>
      <c r="F258" s="774">
        <v>24</v>
      </c>
      <c r="G258" s="785" t="s">
        <v>530</v>
      </c>
    </row>
    <row r="259" spans="1:7" x14ac:dyDescent="0.25">
      <c r="A259" s="887" t="s">
        <v>599</v>
      </c>
      <c r="B259" s="879" t="s">
        <v>528</v>
      </c>
      <c r="C259" s="881">
        <v>807</v>
      </c>
      <c r="D259" s="881">
        <v>1278</v>
      </c>
      <c r="E259" s="881">
        <v>1211</v>
      </c>
      <c r="F259" s="885">
        <v>36</v>
      </c>
      <c r="G259" s="884" t="s">
        <v>606</v>
      </c>
    </row>
    <row r="260" spans="1:7" x14ac:dyDescent="0.25">
      <c r="A260" s="1174" t="s">
        <v>443</v>
      </c>
      <c r="B260" s="519">
        <v>564</v>
      </c>
      <c r="C260" s="522">
        <v>702</v>
      </c>
      <c r="D260" s="522">
        <v>1111</v>
      </c>
      <c r="E260" s="522">
        <v>1053</v>
      </c>
      <c r="F260" s="524">
        <v>33</v>
      </c>
      <c r="G260" s="1175" t="s">
        <v>529</v>
      </c>
    </row>
    <row r="261" spans="1:7" x14ac:dyDescent="0.25">
      <c r="A261" s="523" t="s">
        <v>373</v>
      </c>
      <c r="B261" s="519" t="s">
        <v>528</v>
      </c>
      <c r="C261" s="522">
        <v>614</v>
      </c>
      <c r="D261" s="522">
        <v>972</v>
      </c>
      <c r="E261" s="522">
        <v>922</v>
      </c>
      <c r="F261" s="524">
        <v>15</v>
      </c>
      <c r="G261" s="784" t="s">
        <v>529</v>
      </c>
    </row>
    <row r="262" spans="1:7" x14ac:dyDescent="0.25">
      <c r="A262" s="519" t="s">
        <v>352</v>
      </c>
      <c r="B262" s="519" t="s">
        <v>528</v>
      </c>
      <c r="C262" s="522">
        <v>316</v>
      </c>
      <c r="D262" s="522">
        <v>500</v>
      </c>
      <c r="E262" s="522">
        <v>474</v>
      </c>
      <c r="F262" s="524">
        <v>52</v>
      </c>
      <c r="G262" s="784" t="s">
        <v>529</v>
      </c>
    </row>
    <row r="263" spans="1:7" x14ac:dyDescent="0.25">
      <c r="A263" s="772" t="s">
        <v>391</v>
      </c>
      <c r="B263" s="772">
        <v>340</v>
      </c>
      <c r="C263" s="773">
        <v>492</v>
      </c>
      <c r="D263" s="773">
        <v>778</v>
      </c>
      <c r="E263" s="773">
        <v>737</v>
      </c>
      <c r="F263" s="774">
        <v>50</v>
      </c>
      <c r="G263" s="785" t="s">
        <v>530</v>
      </c>
    </row>
    <row r="264" spans="1:7" x14ac:dyDescent="0.25">
      <c r="A264" s="776" t="s">
        <v>353</v>
      </c>
      <c r="B264" s="772">
        <v>249</v>
      </c>
      <c r="C264" s="773">
        <v>360</v>
      </c>
      <c r="D264" s="773">
        <v>570</v>
      </c>
      <c r="E264" s="773">
        <v>540</v>
      </c>
      <c r="F264" s="774">
        <v>3</v>
      </c>
      <c r="G264" s="823" t="s">
        <v>530</v>
      </c>
    </row>
    <row r="265" spans="1:7" x14ac:dyDescent="0.25">
      <c r="A265" s="776" t="s">
        <v>452</v>
      </c>
      <c r="B265" s="772">
        <v>115</v>
      </c>
      <c r="C265" s="773">
        <v>167</v>
      </c>
      <c r="D265" s="773">
        <v>264</v>
      </c>
      <c r="E265" s="773">
        <v>250</v>
      </c>
      <c r="F265" s="774">
        <v>22</v>
      </c>
      <c r="G265" s="785" t="s">
        <v>530</v>
      </c>
    </row>
    <row r="266" spans="1:7" x14ac:dyDescent="0.25">
      <c r="A266" s="776" t="s">
        <v>453</v>
      </c>
      <c r="B266" s="772">
        <v>158</v>
      </c>
      <c r="C266" s="773">
        <v>228</v>
      </c>
      <c r="D266" s="773">
        <v>362</v>
      </c>
      <c r="E266" s="773">
        <v>343</v>
      </c>
      <c r="F266" s="774">
        <v>19</v>
      </c>
      <c r="G266" s="785" t="s">
        <v>530</v>
      </c>
    </row>
    <row r="267" spans="1:7" x14ac:dyDescent="0.25">
      <c r="A267" s="523" t="s">
        <v>376</v>
      </c>
      <c r="B267" s="519" t="s">
        <v>528</v>
      </c>
      <c r="C267" s="522">
        <v>790</v>
      </c>
      <c r="D267" s="522">
        <v>1250</v>
      </c>
      <c r="E267" s="522">
        <v>1185</v>
      </c>
      <c r="F267" s="524">
        <v>15</v>
      </c>
      <c r="G267" s="784" t="s">
        <v>529</v>
      </c>
    </row>
    <row r="268" spans="1:7" x14ac:dyDescent="0.25">
      <c r="A268" s="776" t="s">
        <v>504</v>
      </c>
      <c r="B268" s="772">
        <v>60</v>
      </c>
      <c r="C268" s="1223">
        <v>73.599999999999994</v>
      </c>
      <c r="D268" s="773">
        <v>106</v>
      </c>
      <c r="E268" s="773">
        <v>100</v>
      </c>
      <c r="F268" s="774">
        <v>7</v>
      </c>
      <c r="G268" s="785" t="s">
        <v>530</v>
      </c>
    </row>
    <row r="269" spans="1:7" x14ac:dyDescent="0.25">
      <c r="A269" s="776" t="s">
        <v>505</v>
      </c>
      <c r="B269" s="772">
        <v>60</v>
      </c>
      <c r="C269" s="1223">
        <v>171.6</v>
      </c>
      <c r="D269" s="773">
        <v>209</v>
      </c>
      <c r="E269" s="773">
        <v>198</v>
      </c>
      <c r="F269" s="774">
        <v>7</v>
      </c>
      <c r="G269" s="785" t="s">
        <v>530</v>
      </c>
    </row>
    <row r="270" spans="1:7" x14ac:dyDescent="0.25">
      <c r="A270" s="887" t="s">
        <v>600</v>
      </c>
      <c r="B270" s="879" t="s">
        <v>528</v>
      </c>
      <c r="C270" s="881">
        <v>526</v>
      </c>
      <c r="D270" s="881">
        <v>833</v>
      </c>
      <c r="E270" s="881">
        <v>789</v>
      </c>
      <c r="F270" s="885">
        <v>41</v>
      </c>
      <c r="G270" s="884" t="s">
        <v>606</v>
      </c>
    </row>
    <row r="271" spans="1:7" x14ac:dyDescent="0.25">
      <c r="A271" s="887" t="s">
        <v>601</v>
      </c>
      <c r="B271" s="879" t="s">
        <v>528</v>
      </c>
      <c r="C271" s="881">
        <v>289</v>
      </c>
      <c r="D271" s="881">
        <v>458</v>
      </c>
      <c r="E271" s="881">
        <v>434</v>
      </c>
      <c r="F271" s="885">
        <v>34</v>
      </c>
      <c r="G271" s="884" t="s">
        <v>606</v>
      </c>
    </row>
    <row r="272" spans="1:7" x14ac:dyDescent="0.25">
      <c r="A272" s="519" t="s">
        <v>370</v>
      </c>
      <c r="B272" s="519">
        <v>352</v>
      </c>
      <c r="C272" s="522">
        <v>298</v>
      </c>
      <c r="D272" s="522">
        <v>472</v>
      </c>
      <c r="E272" s="522">
        <v>448</v>
      </c>
      <c r="F272" s="524">
        <v>29</v>
      </c>
      <c r="G272" s="784" t="s">
        <v>529</v>
      </c>
    </row>
    <row r="273" spans="1:7" x14ac:dyDescent="0.25">
      <c r="A273" s="519" t="s">
        <v>365</v>
      </c>
      <c r="B273" s="519">
        <v>158</v>
      </c>
      <c r="C273" s="522">
        <v>40</v>
      </c>
      <c r="D273" s="522">
        <v>64</v>
      </c>
      <c r="E273" s="522">
        <v>61</v>
      </c>
      <c r="F273" s="524">
        <v>8</v>
      </c>
      <c r="G273" s="784" t="s">
        <v>529</v>
      </c>
    </row>
    <row r="274" spans="1:7" x14ac:dyDescent="0.25">
      <c r="A274" s="776" t="s">
        <v>401</v>
      </c>
      <c r="B274" s="772">
        <v>140</v>
      </c>
      <c r="C274" s="773">
        <v>203</v>
      </c>
      <c r="D274" s="773">
        <v>320</v>
      </c>
      <c r="E274" s="773">
        <v>303</v>
      </c>
      <c r="F274" s="774">
        <v>18</v>
      </c>
      <c r="G274" s="785" t="s">
        <v>530</v>
      </c>
    </row>
    <row r="275" spans="1:7" x14ac:dyDescent="0.25">
      <c r="A275" s="776" t="s">
        <v>454</v>
      </c>
      <c r="B275" s="772">
        <v>213</v>
      </c>
      <c r="C275" s="773">
        <v>308</v>
      </c>
      <c r="D275" s="773">
        <v>487</v>
      </c>
      <c r="E275" s="773">
        <v>461</v>
      </c>
      <c r="F275" s="774">
        <v>21</v>
      </c>
      <c r="G275" s="785" t="s">
        <v>530</v>
      </c>
    </row>
    <row r="276" spans="1:7" x14ac:dyDescent="0.25">
      <c r="A276" s="776" t="s">
        <v>506</v>
      </c>
      <c r="B276" s="1224" t="s">
        <v>417</v>
      </c>
      <c r="C276" s="870" t="s">
        <v>417</v>
      </c>
      <c r="D276" s="870" t="s">
        <v>417</v>
      </c>
      <c r="E276" s="870" t="s">
        <v>417</v>
      </c>
      <c r="F276" s="774">
        <v>23</v>
      </c>
      <c r="G276" s="785" t="s">
        <v>530</v>
      </c>
    </row>
    <row r="277" spans="1:7" x14ac:dyDescent="0.25">
      <c r="A277" s="519" t="s">
        <v>366</v>
      </c>
      <c r="B277" s="519">
        <v>225</v>
      </c>
      <c r="C277" s="522">
        <v>193</v>
      </c>
      <c r="D277" s="522">
        <v>306</v>
      </c>
      <c r="E277" s="522">
        <v>290</v>
      </c>
      <c r="F277" s="524">
        <v>10</v>
      </c>
      <c r="G277" s="784" t="s">
        <v>529</v>
      </c>
    </row>
    <row r="278" spans="1:7" x14ac:dyDescent="0.25">
      <c r="A278" s="519" t="s">
        <v>371</v>
      </c>
      <c r="B278" s="519">
        <v>370</v>
      </c>
      <c r="C278" s="522">
        <v>439</v>
      </c>
      <c r="D278" s="522">
        <v>694</v>
      </c>
      <c r="E278" s="522">
        <v>658</v>
      </c>
      <c r="F278" s="524">
        <v>43</v>
      </c>
      <c r="G278" s="784" t="s">
        <v>529</v>
      </c>
    </row>
    <row r="279" spans="1:7" x14ac:dyDescent="0.25">
      <c r="A279" s="519" t="s">
        <v>419</v>
      </c>
      <c r="B279" s="519">
        <v>200</v>
      </c>
      <c r="C279" s="522">
        <v>132</v>
      </c>
      <c r="D279" s="522">
        <v>208</v>
      </c>
      <c r="E279" s="522">
        <v>198</v>
      </c>
      <c r="F279" s="524">
        <v>10</v>
      </c>
      <c r="G279" s="784" t="s">
        <v>529</v>
      </c>
    </row>
    <row r="280" spans="1:7" x14ac:dyDescent="0.25">
      <c r="A280" s="519" t="s">
        <v>367</v>
      </c>
      <c r="B280" s="519">
        <v>194</v>
      </c>
      <c r="C280" s="522">
        <v>167</v>
      </c>
      <c r="D280" s="522">
        <v>264</v>
      </c>
      <c r="E280" s="522">
        <v>250</v>
      </c>
      <c r="F280" s="524">
        <v>46</v>
      </c>
      <c r="G280" s="784" t="s">
        <v>529</v>
      </c>
    </row>
    <row r="281" spans="1:7" x14ac:dyDescent="0.25">
      <c r="A281" s="879" t="s">
        <v>602</v>
      </c>
      <c r="B281" s="879" t="s">
        <v>528</v>
      </c>
      <c r="C281" s="881">
        <v>70</v>
      </c>
      <c r="D281" s="881">
        <v>111</v>
      </c>
      <c r="E281" s="881">
        <v>105</v>
      </c>
      <c r="F281" s="885">
        <v>51</v>
      </c>
      <c r="G281" s="884" t="s">
        <v>606</v>
      </c>
    </row>
    <row r="282" spans="1:7" x14ac:dyDescent="0.25">
      <c r="A282" s="519" t="s">
        <v>368</v>
      </c>
      <c r="B282" s="519">
        <v>243</v>
      </c>
      <c r="C282" s="522">
        <v>105</v>
      </c>
      <c r="D282" s="522">
        <v>167</v>
      </c>
      <c r="E282" s="522">
        <v>158</v>
      </c>
      <c r="F282" s="524">
        <v>6</v>
      </c>
      <c r="G282" s="784" t="s">
        <v>529</v>
      </c>
    </row>
    <row r="283" spans="1:7" x14ac:dyDescent="0.25">
      <c r="A283" s="772" t="s">
        <v>507</v>
      </c>
      <c r="B283" s="1224" t="s">
        <v>417</v>
      </c>
      <c r="C283" s="870" t="s">
        <v>417</v>
      </c>
      <c r="D283" s="870" t="s">
        <v>417</v>
      </c>
      <c r="E283" s="870" t="s">
        <v>417</v>
      </c>
      <c r="F283" s="774">
        <v>31</v>
      </c>
      <c r="G283" s="785" t="s">
        <v>530</v>
      </c>
    </row>
    <row r="284" spans="1:7" x14ac:dyDescent="0.25">
      <c r="A284" s="772" t="s">
        <v>508</v>
      </c>
      <c r="B284" s="1224" t="s">
        <v>417</v>
      </c>
      <c r="C284" s="870" t="s">
        <v>417</v>
      </c>
      <c r="D284" s="870" t="s">
        <v>417</v>
      </c>
      <c r="E284" s="870" t="s">
        <v>417</v>
      </c>
      <c r="F284" s="774">
        <v>26</v>
      </c>
      <c r="G284" s="785" t="s">
        <v>530</v>
      </c>
    </row>
    <row r="285" spans="1:7" x14ac:dyDescent="0.25">
      <c r="A285" s="776" t="s">
        <v>455</v>
      </c>
      <c r="B285" s="772">
        <v>134</v>
      </c>
      <c r="C285" s="773">
        <v>193</v>
      </c>
      <c r="D285" s="773">
        <v>306</v>
      </c>
      <c r="E285" s="773">
        <v>290</v>
      </c>
      <c r="F285" s="774">
        <v>17</v>
      </c>
      <c r="G285" s="785" t="s">
        <v>530</v>
      </c>
    </row>
    <row r="286" spans="1:7" x14ac:dyDescent="0.25">
      <c r="A286" s="887" t="s">
        <v>603</v>
      </c>
      <c r="B286" s="879" t="s">
        <v>528</v>
      </c>
      <c r="C286" s="881">
        <v>596</v>
      </c>
      <c r="D286" s="881">
        <v>944</v>
      </c>
      <c r="E286" s="881">
        <v>895</v>
      </c>
      <c r="F286" s="885">
        <v>40</v>
      </c>
      <c r="G286" s="884" t="s">
        <v>606</v>
      </c>
    </row>
    <row r="287" spans="1:7" x14ac:dyDescent="0.25">
      <c r="A287" s="772" t="s">
        <v>403</v>
      </c>
      <c r="B287" s="1224" t="s">
        <v>417</v>
      </c>
      <c r="C287" s="870" t="s">
        <v>417</v>
      </c>
      <c r="D287" s="870" t="s">
        <v>417</v>
      </c>
      <c r="E287" s="870" t="s">
        <v>417</v>
      </c>
      <c r="F287" s="774">
        <v>30</v>
      </c>
      <c r="G287" s="785" t="s">
        <v>530</v>
      </c>
    </row>
    <row r="288" spans="1:7" x14ac:dyDescent="0.25">
      <c r="A288" s="772" t="s">
        <v>715</v>
      </c>
      <c r="B288" s="1224" t="s">
        <v>417</v>
      </c>
      <c r="C288" s="870" t="s">
        <v>417</v>
      </c>
      <c r="D288" s="870" t="s">
        <v>417</v>
      </c>
      <c r="E288" s="870" t="s">
        <v>417</v>
      </c>
      <c r="F288" s="774">
        <v>44</v>
      </c>
      <c r="G288" s="785" t="s">
        <v>530</v>
      </c>
    </row>
    <row r="289" spans="1:7" x14ac:dyDescent="0.25">
      <c r="A289" s="772" t="s">
        <v>716</v>
      </c>
      <c r="B289" s="1224" t="s">
        <v>417</v>
      </c>
      <c r="C289" s="870" t="s">
        <v>417</v>
      </c>
      <c r="D289" s="870" t="s">
        <v>417</v>
      </c>
      <c r="E289" s="870" t="s">
        <v>417</v>
      </c>
      <c r="F289" s="774">
        <v>44</v>
      </c>
      <c r="G289" s="785" t="s">
        <v>530</v>
      </c>
    </row>
    <row r="290" spans="1:7" x14ac:dyDescent="0.25">
      <c r="A290" s="523" t="s">
        <v>377</v>
      </c>
      <c r="B290" s="519" t="s">
        <v>528</v>
      </c>
      <c r="C290" s="522">
        <v>658</v>
      </c>
      <c r="D290" s="522">
        <v>1042</v>
      </c>
      <c r="E290" s="522">
        <v>987</v>
      </c>
      <c r="F290" s="524">
        <v>15</v>
      </c>
      <c r="G290" s="784" t="s">
        <v>529</v>
      </c>
    </row>
    <row r="291" spans="1:7" x14ac:dyDescent="0.25">
      <c r="A291" s="776" t="s">
        <v>510</v>
      </c>
      <c r="B291" s="772">
        <v>103</v>
      </c>
      <c r="C291" s="773">
        <v>149</v>
      </c>
      <c r="D291" s="773">
        <v>237</v>
      </c>
      <c r="E291" s="773">
        <v>224</v>
      </c>
      <c r="F291" s="774">
        <v>22</v>
      </c>
      <c r="G291" s="785" t="s">
        <v>530</v>
      </c>
    </row>
    <row r="292" spans="1:7" x14ac:dyDescent="0.25">
      <c r="A292" s="776" t="s">
        <v>717</v>
      </c>
      <c r="B292" s="1224" t="s">
        <v>417</v>
      </c>
      <c r="C292" s="870" t="s">
        <v>417</v>
      </c>
      <c r="D292" s="870" t="s">
        <v>417</v>
      </c>
      <c r="E292" s="870" t="s">
        <v>417</v>
      </c>
      <c r="F292" s="774">
        <v>30</v>
      </c>
      <c r="G292" s="785" t="s">
        <v>530</v>
      </c>
    </row>
    <row r="293" spans="1:7" x14ac:dyDescent="0.25">
      <c r="A293" s="519" t="s">
        <v>369</v>
      </c>
      <c r="B293" s="519">
        <v>170</v>
      </c>
      <c r="C293" s="522">
        <v>167</v>
      </c>
      <c r="D293" s="522">
        <v>264</v>
      </c>
      <c r="E293" s="522">
        <v>250</v>
      </c>
      <c r="F293" s="524">
        <v>6</v>
      </c>
      <c r="G293" s="784" t="s">
        <v>529</v>
      </c>
    </row>
    <row r="294" spans="1:7" x14ac:dyDescent="0.25">
      <c r="A294" s="519"/>
      <c r="B294" s="519"/>
      <c r="C294" s="522"/>
      <c r="D294" s="522"/>
      <c r="E294" s="522"/>
      <c r="F294" s="524"/>
      <c r="G294" s="784"/>
    </row>
    <row r="295" spans="1:7" x14ac:dyDescent="0.25">
      <c r="A295" s="519"/>
      <c r="B295" s="519"/>
      <c r="C295" s="522"/>
      <c r="D295" s="522"/>
      <c r="E295" s="522"/>
      <c r="F295" s="524"/>
      <c r="G295" s="784"/>
    </row>
  </sheetData>
  <autoFilter ref="A1:F71">
    <sortState ref="A2:E36">
      <sortCondition ref="A1:A36"/>
    </sortState>
  </autoFilter>
  <phoneticPr fontId="65" type="noConversion"/>
  <pageMargins left="0.70866141732283472" right="0.70866141732283472" top="0.74803149606299213" bottom="0.74803149606299213" header="0.31496062992125984" footer="0.31496062992125984"/>
  <pageSetup paperSize="9" scale="1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89"/>
  <sheetViews>
    <sheetView showGridLines="0" view="pageBreakPreview" zoomScale="75" zoomScaleNormal="100" zoomScaleSheetLayoutView="75" workbookViewId="0">
      <pane xSplit="1" ySplit="7" topLeftCell="E8" activePane="bottomRight" state="frozen"/>
      <selection pane="topRight"/>
      <selection pane="bottomLeft"/>
      <selection pane="bottomRight" activeCell="R67" sqref="R67"/>
    </sheetView>
  </sheetViews>
  <sheetFormatPr defaultColWidth="11.42578125" defaultRowHeight="18" x14ac:dyDescent="0.25"/>
  <cols>
    <col min="1" max="1" width="38.7109375" style="3" customWidth="1"/>
    <col min="2" max="2" width="9.7109375" style="2" customWidth="1"/>
    <col min="3" max="3" width="8.42578125" style="2" customWidth="1"/>
    <col min="4" max="4" width="9.7109375" style="2" customWidth="1"/>
    <col min="5" max="5" width="16.7109375" style="2" customWidth="1"/>
    <col min="6" max="6" width="6.140625" style="2" customWidth="1"/>
    <col min="7" max="8" width="10.85546875" style="2" customWidth="1"/>
    <col min="9" max="9" width="13.28515625" style="2" customWidth="1"/>
    <col min="10" max="10" width="11.5703125" style="4" customWidth="1"/>
    <col min="11" max="11" width="11.5703125" style="2" customWidth="1"/>
    <col min="12" max="12" width="15" style="5" customWidth="1"/>
    <col min="13" max="13" width="11.85546875" style="4" customWidth="1"/>
    <col min="14" max="14" width="14.85546875" style="56" customWidth="1"/>
    <col min="15" max="15" width="15.140625" style="2" customWidth="1"/>
    <col min="16" max="16" width="12.5703125" style="5" hidden="1" customWidth="1"/>
    <col min="17" max="17" width="15.140625" style="2" customWidth="1"/>
    <col min="18" max="18" width="11.7109375" style="2" customWidth="1"/>
    <col min="19" max="19" width="13.42578125" style="2" customWidth="1"/>
    <col min="20" max="20" width="13" style="2" customWidth="1"/>
    <col min="21" max="21" width="11.42578125" style="2"/>
    <col min="22" max="22" width="9.28515625" style="2" customWidth="1"/>
    <col min="23" max="23" width="10.5703125" style="82" customWidth="1"/>
    <col min="24" max="16384" width="11.42578125" style="2"/>
  </cols>
  <sheetData>
    <row r="1" spans="1:24" ht="26.25" x14ac:dyDescent="0.4">
      <c r="A1" s="75" t="s">
        <v>19</v>
      </c>
    </row>
    <row r="2" spans="1:24" s="27" customFormat="1" ht="26.25" x14ac:dyDescent="0.4">
      <c r="A2" s="75" t="s">
        <v>20</v>
      </c>
      <c r="J2" s="28"/>
      <c r="L2" s="29"/>
      <c r="M2" s="28"/>
      <c r="N2" s="57"/>
      <c r="P2" s="29"/>
      <c r="W2" s="83"/>
    </row>
    <row r="3" spans="1:24" s="27" customFormat="1" ht="60" customHeight="1" x14ac:dyDescent="0.35">
      <c r="A3" s="2" t="s">
        <v>53</v>
      </c>
      <c r="J3" s="28"/>
      <c r="L3" s="29"/>
      <c r="M3" s="28"/>
      <c r="N3" s="57"/>
      <c r="P3" s="29"/>
      <c r="W3" s="83"/>
    </row>
    <row r="4" spans="1:24" x14ac:dyDescent="0.25">
      <c r="A4" s="1248" t="s">
        <v>436</v>
      </c>
      <c r="B4" s="1249"/>
      <c r="C4" s="1249"/>
      <c r="D4" s="1249"/>
      <c r="E4" s="1249"/>
      <c r="F4" s="1249"/>
      <c r="G4" s="1249"/>
      <c r="H4" s="1249"/>
      <c r="I4" s="1249"/>
      <c r="J4" s="1249"/>
      <c r="K4" s="1249"/>
      <c r="L4" s="1249"/>
      <c r="M4" s="1249"/>
      <c r="N4" s="1249"/>
      <c r="O4" s="1249"/>
      <c r="P4" s="1249"/>
      <c r="Q4" s="1249"/>
      <c r="R4" s="1249"/>
      <c r="S4" s="1249"/>
      <c r="T4" s="7"/>
    </row>
    <row r="5" spans="1:24" ht="18.75" thickBot="1" x14ac:dyDescent="0.3">
      <c r="A5" s="6"/>
      <c r="B5" s="7"/>
      <c r="C5" s="7"/>
      <c r="D5" s="7"/>
      <c r="E5" s="7"/>
      <c r="F5" s="7"/>
      <c r="G5" s="7"/>
      <c r="H5" s="7"/>
      <c r="I5" s="7"/>
      <c r="J5" s="7"/>
      <c r="K5" s="7"/>
      <c r="L5" s="7"/>
      <c r="M5" s="67"/>
      <c r="N5" s="58"/>
      <c r="O5" s="7"/>
      <c r="P5" s="7"/>
      <c r="Q5" s="7"/>
      <c r="R5" s="528"/>
      <c r="S5" s="528"/>
      <c r="T5" s="7"/>
    </row>
    <row r="6" spans="1:24" ht="72.75" customHeight="1" thickBot="1" x14ac:dyDescent="0.3">
      <c r="A6" s="1250" t="s">
        <v>0</v>
      </c>
      <c r="B6" s="1252" t="s">
        <v>1</v>
      </c>
      <c r="C6" s="1254" t="s">
        <v>2</v>
      </c>
      <c r="D6" s="1256" t="s">
        <v>3</v>
      </c>
      <c r="E6" s="1258" t="s">
        <v>88</v>
      </c>
      <c r="F6" s="1260" t="s">
        <v>36</v>
      </c>
      <c r="G6" s="1260" t="s">
        <v>57</v>
      </c>
      <c r="H6" s="114"/>
      <c r="I6" s="1260" t="s">
        <v>56</v>
      </c>
      <c r="J6" s="1264" t="s">
        <v>49</v>
      </c>
      <c r="K6" s="1265"/>
      <c r="L6" s="1266"/>
      <c r="M6" s="1267" t="s">
        <v>48</v>
      </c>
      <c r="N6" s="1268"/>
      <c r="O6" s="1269" t="s">
        <v>44</v>
      </c>
      <c r="P6" s="1270"/>
      <c r="Q6" s="1264" t="s">
        <v>340</v>
      </c>
      <c r="R6" s="1265"/>
      <c r="S6" s="1266"/>
    </row>
    <row r="7" spans="1:24" ht="49.5" customHeight="1" thickBot="1" x14ac:dyDescent="0.3">
      <c r="A7" s="1251"/>
      <c r="B7" s="1253"/>
      <c r="C7" s="1255"/>
      <c r="D7" s="1257"/>
      <c r="E7" s="1259"/>
      <c r="F7" s="1261"/>
      <c r="G7" s="1262"/>
      <c r="H7" s="873"/>
      <c r="I7" s="1263"/>
      <c r="J7" s="43" t="s">
        <v>5</v>
      </c>
      <c r="K7" s="54" t="s">
        <v>17</v>
      </c>
      <c r="L7" s="64" t="s">
        <v>18</v>
      </c>
      <c r="M7" s="461" t="s">
        <v>47</v>
      </c>
      <c r="N7" s="462" t="s">
        <v>18</v>
      </c>
      <c r="O7" s="449" t="s">
        <v>43</v>
      </c>
      <c r="P7" s="447" t="s">
        <v>42</v>
      </c>
      <c r="Q7" s="874" t="s">
        <v>6</v>
      </c>
      <c r="R7" s="875" t="s">
        <v>18</v>
      </c>
      <c r="S7" s="470" t="s">
        <v>22</v>
      </c>
      <c r="T7" s="3"/>
      <c r="U7" s="3"/>
      <c r="V7" s="3"/>
    </row>
    <row r="8" spans="1:24" ht="22.5" customHeight="1" thickBot="1" x14ac:dyDescent="0.3">
      <c r="A8" s="35" t="s">
        <v>41</v>
      </c>
      <c r="B8" s="252">
        <v>1200</v>
      </c>
      <c r="C8" s="250">
        <v>600</v>
      </c>
      <c r="D8" s="251">
        <v>50</v>
      </c>
      <c r="E8" s="254" t="s">
        <v>233</v>
      </c>
      <c r="F8" s="238" t="s">
        <v>239</v>
      </c>
      <c r="G8" s="1176" t="str">
        <f>IFERROR(H8*'Лайт+АКУСТИК DDP'!O8," ")</f>
        <v xml:space="preserve"> </v>
      </c>
      <c r="H8" s="124" t="s">
        <v>528</v>
      </c>
      <c r="I8" s="259" t="s">
        <v>82</v>
      </c>
      <c r="J8" s="131">
        <v>12</v>
      </c>
      <c r="K8" s="168">
        <v>8.64</v>
      </c>
      <c r="L8" s="132">
        <v>0.432</v>
      </c>
      <c r="M8" s="133">
        <v>20</v>
      </c>
      <c r="N8" s="172">
        <v>8.64</v>
      </c>
      <c r="O8" s="220">
        <v>95.04</v>
      </c>
      <c r="P8" s="443">
        <v>103.68</v>
      </c>
      <c r="Q8" s="88" t="e">
        <f>L8*R8</f>
        <v>#VALUE!</v>
      </c>
      <c r="R8" s="99" t="s">
        <v>528</v>
      </c>
      <c r="S8" s="101" t="e">
        <f>R8*D8/1000</f>
        <v>#VALUE!</v>
      </c>
      <c r="U8" s="4"/>
      <c r="V8" s="82"/>
      <c r="X8" s="4"/>
    </row>
    <row r="9" spans="1:24" ht="22.5" customHeight="1" thickBot="1" x14ac:dyDescent="0.3">
      <c r="A9" s="877"/>
      <c r="B9" s="249">
        <v>1200</v>
      </c>
      <c r="C9" s="250">
        <v>600</v>
      </c>
      <c r="D9" s="251">
        <v>50</v>
      </c>
      <c r="E9" s="599" t="s">
        <v>234</v>
      </c>
      <c r="F9" s="238" t="s">
        <v>238</v>
      </c>
      <c r="G9" s="1176" t="str">
        <f>IFERROR(H9*'Лайт+АКУСТИК DDP'!O9," ")</f>
        <v xml:space="preserve"> </v>
      </c>
      <c r="H9" s="124" t="s">
        <v>528</v>
      </c>
      <c r="I9" s="124" t="s">
        <v>83</v>
      </c>
      <c r="J9" s="125">
        <v>12</v>
      </c>
      <c r="K9" s="166">
        <v>6.9119999999999999</v>
      </c>
      <c r="L9" s="126">
        <v>0.432</v>
      </c>
      <c r="M9" s="133">
        <v>16</v>
      </c>
      <c r="N9" s="172">
        <v>6.9119999999999999</v>
      </c>
      <c r="O9" s="220">
        <v>76.031999999999996</v>
      </c>
      <c r="P9" s="126"/>
      <c r="Q9" s="88">
        <f t="shared" ref="Q9:Q15" si="0">L9*R9</f>
        <v>804.38400000000001</v>
      </c>
      <c r="R9" s="655">
        <v>1862</v>
      </c>
      <c r="S9" s="101">
        <f t="shared" ref="S9:S15" si="1">R9*D9/1000</f>
        <v>93.1</v>
      </c>
      <c r="U9" s="4"/>
      <c r="V9" s="82"/>
      <c r="X9" s="4"/>
    </row>
    <row r="10" spans="1:24" ht="22.5" customHeight="1" thickBot="1" x14ac:dyDescent="0.3">
      <c r="A10" s="877"/>
      <c r="B10" s="249">
        <v>1200</v>
      </c>
      <c r="C10" s="250">
        <v>600</v>
      </c>
      <c r="D10" s="251">
        <v>50</v>
      </c>
      <c r="E10" s="599" t="s">
        <v>442</v>
      </c>
      <c r="F10" s="238" t="s">
        <v>239</v>
      </c>
      <c r="G10" s="1176" t="str">
        <f>IFERROR(H10*'Лайт+АКУСТИК DDP'!O10," ")</f>
        <v xml:space="preserve"> </v>
      </c>
      <c r="H10" s="124" t="s">
        <v>528</v>
      </c>
      <c r="I10" s="124" t="s">
        <v>83</v>
      </c>
      <c r="J10" s="125">
        <v>8</v>
      </c>
      <c r="K10" s="166">
        <v>5.76</v>
      </c>
      <c r="L10" s="126">
        <v>0.28799999999999998</v>
      </c>
      <c r="M10" s="133">
        <v>24</v>
      </c>
      <c r="N10" s="172">
        <v>6.9119999999999999</v>
      </c>
      <c r="O10" s="231">
        <v>76.031999999999996</v>
      </c>
      <c r="P10" s="126"/>
      <c r="Q10" s="88">
        <f>L10*R10</f>
        <v>536.25599999999997</v>
      </c>
      <c r="R10" s="655">
        <v>1862</v>
      </c>
      <c r="S10" s="101">
        <f>R10*D10/1000</f>
        <v>93.1</v>
      </c>
      <c r="U10" s="4"/>
      <c r="V10" s="82"/>
      <c r="X10" s="4"/>
    </row>
    <row r="11" spans="1:24" ht="22.5" customHeight="1" thickBot="1" x14ac:dyDescent="0.3">
      <c r="A11" s="877"/>
      <c r="B11" s="249">
        <v>1200</v>
      </c>
      <c r="C11" s="250">
        <v>600</v>
      </c>
      <c r="D11" s="251">
        <v>50</v>
      </c>
      <c r="E11" s="666" t="s">
        <v>462</v>
      </c>
      <c r="F11" s="238" t="s">
        <v>238</v>
      </c>
      <c r="G11" s="1176" t="str">
        <f>IFERROR(H11*'Лайт+АКУСТИК DDP'!O11," ")</f>
        <v xml:space="preserve"> </v>
      </c>
      <c r="H11" s="124" t="s">
        <v>528</v>
      </c>
      <c r="I11" s="124" t="s">
        <v>463</v>
      </c>
      <c r="J11" s="125">
        <v>12</v>
      </c>
      <c r="K11" s="166">
        <f>B11*C11*J11/1000000</f>
        <v>8.64</v>
      </c>
      <c r="L11" s="126">
        <f>B11*C11*D11*J11/1000000000</f>
        <v>0.432</v>
      </c>
      <c r="M11" s="133">
        <v>24</v>
      </c>
      <c r="N11" s="172">
        <f>L11*M11</f>
        <v>10.368</v>
      </c>
      <c r="O11" s="231">
        <f>N11*11</f>
        <v>114.048</v>
      </c>
      <c r="P11" s="126"/>
      <c r="Q11" s="88" t="e">
        <f>L11*R11</f>
        <v>#VALUE!</v>
      </c>
      <c r="R11" s="665" t="s">
        <v>528</v>
      </c>
      <c r="S11" s="101" t="e">
        <f>R11*D11/1000</f>
        <v>#VALUE!</v>
      </c>
      <c r="T11" s="2" t="s">
        <v>456</v>
      </c>
      <c r="U11" s="4"/>
      <c r="V11" s="82"/>
      <c r="X11" s="4"/>
    </row>
    <row r="12" spans="1:24" ht="22.5" customHeight="1" thickBot="1" x14ac:dyDescent="0.3">
      <c r="A12" s="877"/>
      <c r="B12" s="203">
        <v>1200</v>
      </c>
      <c r="C12" s="204">
        <v>600</v>
      </c>
      <c r="D12" s="209">
        <v>50</v>
      </c>
      <c r="E12" s="254" t="s">
        <v>609</v>
      </c>
      <c r="F12" s="238" t="s">
        <v>239</v>
      </c>
      <c r="G12" s="1176" t="str">
        <f>IFERROR(H12*'Лайт+АКУСТИК DDP'!O12," ")</f>
        <v xml:space="preserve"> </v>
      </c>
      <c r="H12" s="124" t="s">
        <v>528</v>
      </c>
      <c r="I12" s="170">
        <v>1036.8000000000002</v>
      </c>
      <c r="J12" s="125">
        <v>6</v>
      </c>
      <c r="K12" s="166">
        <v>0.432</v>
      </c>
      <c r="L12" s="126">
        <v>0.216</v>
      </c>
      <c r="M12" s="127">
        <v>32</v>
      </c>
      <c r="N12" s="173">
        <v>6.9119999999999999</v>
      </c>
      <c r="O12" s="231">
        <v>76.031999999999996</v>
      </c>
      <c r="P12" s="126"/>
      <c r="Q12" s="88">
        <f t="shared" ref="Q12" si="2">L12*R12</f>
        <v>402.19200000000001</v>
      </c>
      <c r="R12" s="655">
        <v>1862</v>
      </c>
      <c r="S12" s="101">
        <f t="shared" ref="S12" si="3">R12*D12/1000</f>
        <v>93.1</v>
      </c>
      <c r="U12" s="4"/>
      <c r="V12" s="82"/>
      <c r="X12" s="4"/>
    </row>
    <row r="13" spans="1:24" ht="22.5" customHeight="1" thickBot="1" x14ac:dyDescent="0.3">
      <c r="A13" s="1246" t="s">
        <v>31</v>
      </c>
      <c r="B13" s="203">
        <v>1200</v>
      </c>
      <c r="C13" s="204">
        <v>600</v>
      </c>
      <c r="D13" s="209">
        <v>75</v>
      </c>
      <c r="E13" s="254" t="s">
        <v>242</v>
      </c>
      <c r="F13" s="238" t="s">
        <v>46</v>
      </c>
      <c r="G13" s="1176">
        <f>IFERROR(H13*'Лайт+АКУСТИК DDP'!O13," ")</f>
        <v>158.976</v>
      </c>
      <c r="H13" s="124">
        <f>ROUNDUP(5500/35/'Лайт+АКУСТИК DDP'!O13,0)</f>
        <v>23</v>
      </c>
      <c r="I13" s="170">
        <v>1036.8000000000002</v>
      </c>
      <c r="J13" s="125">
        <v>8</v>
      </c>
      <c r="K13" s="166">
        <v>5.7600000000000007</v>
      </c>
      <c r="L13" s="126">
        <v>0.432</v>
      </c>
      <c r="M13" s="127">
        <v>16</v>
      </c>
      <c r="N13" s="173">
        <v>6.9119999999999999</v>
      </c>
      <c r="O13" s="231">
        <v>76.031999999999996</v>
      </c>
      <c r="P13" s="126"/>
      <c r="Q13" s="88">
        <f t="shared" si="0"/>
        <v>804.38400000000001</v>
      </c>
      <c r="R13" s="655">
        <v>1862</v>
      </c>
      <c r="S13" s="101">
        <f t="shared" si="1"/>
        <v>139.65</v>
      </c>
      <c r="U13" s="4"/>
      <c r="V13" s="82"/>
      <c r="X13" s="4"/>
    </row>
    <row r="14" spans="1:24" ht="19.5" customHeight="1" thickBot="1" x14ac:dyDescent="0.3">
      <c r="A14" s="1246"/>
      <c r="B14" s="203">
        <v>1200</v>
      </c>
      <c r="C14" s="204">
        <v>600</v>
      </c>
      <c r="D14" s="209">
        <v>100</v>
      </c>
      <c r="E14" s="254" t="s">
        <v>232</v>
      </c>
      <c r="F14" s="238" t="s">
        <v>46</v>
      </c>
      <c r="G14" s="1176">
        <f>IFERROR(H14*'Лайт+АКУСТИК DDP'!O14," ")</f>
        <v>158.976</v>
      </c>
      <c r="H14" s="124">
        <f>ROUNDUP(5500/35/'Лайт+АКУСТИК DDP'!O14,0)</f>
        <v>23</v>
      </c>
      <c r="I14" s="170" t="s">
        <v>86</v>
      </c>
      <c r="J14" s="125">
        <v>6</v>
      </c>
      <c r="K14" s="166">
        <v>4.32</v>
      </c>
      <c r="L14" s="126">
        <v>0.432</v>
      </c>
      <c r="M14" s="127">
        <v>16</v>
      </c>
      <c r="N14" s="173">
        <v>6.9119999999999999</v>
      </c>
      <c r="O14" s="231">
        <v>76.031999999999996</v>
      </c>
      <c r="P14" s="126"/>
      <c r="Q14" s="88">
        <f t="shared" si="0"/>
        <v>804.38400000000001</v>
      </c>
      <c r="R14" s="655">
        <v>1862</v>
      </c>
      <c r="S14" s="101">
        <f t="shared" si="1"/>
        <v>186.2</v>
      </c>
      <c r="U14" s="4"/>
      <c r="V14" s="82"/>
      <c r="X14" s="4"/>
    </row>
    <row r="15" spans="1:24" ht="22.5" customHeight="1" thickBot="1" x14ac:dyDescent="0.3">
      <c r="A15" s="1247"/>
      <c r="B15" s="240">
        <v>1200</v>
      </c>
      <c r="C15" s="241">
        <v>600</v>
      </c>
      <c r="D15" s="242">
        <v>150</v>
      </c>
      <c r="E15" s="257" t="s">
        <v>485</v>
      </c>
      <c r="F15" s="295" t="s">
        <v>46</v>
      </c>
      <c r="G15" s="613">
        <f>IFERROR(H15*'Лайт+АКУСТИК DDP'!O15," ")</f>
        <v>158.976</v>
      </c>
      <c r="H15" s="258">
        <f>ROUNDUP(5500/35/'Лайт+АКУСТИК DDP'!O15,0)</f>
        <v>23</v>
      </c>
      <c r="I15" s="831" t="s">
        <v>179</v>
      </c>
      <c r="J15" s="128">
        <v>4</v>
      </c>
      <c r="K15" s="167">
        <v>2.88</v>
      </c>
      <c r="L15" s="129">
        <v>0.432</v>
      </c>
      <c r="M15" s="130">
        <v>16</v>
      </c>
      <c r="N15" s="174">
        <v>6.9119999999999999</v>
      </c>
      <c r="O15" s="260">
        <v>76.031999999999996</v>
      </c>
      <c r="P15" s="129">
        <v>103.68</v>
      </c>
      <c r="Q15" s="614" t="e">
        <f t="shared" si="0"/>
        <v>#VALUE!</v>
      </c>
      <c r="R15" s="655" t="s">
        <v>528</v>
      </c>
      <c r="S15" s="615" t="e">
        <f t="shared" si="1"/>
        <v>#VALUE!</v>
      </c>
      <c r="U15" s="4"/>
      <c r="V15" s="82"/>
      <c r="X15" s="4"/>
    </row>
    <row r="16" spans="1:24" ht="24" customHeight="1" thickBot="1" x14ac:dyDescent="0.3">
      <c r="A16" s="1271" t="s">
        <v>84</v>
      </c>
      <c r="B16" s="249">
        <v>1200</v>
      </c>
      <c r="C16" s="287">
        <v>600</v>
      </c>
      <c r="D16" s="288">
        <v>50</v>
      </c>
      <c r="E16" s="253" t="s">
        <v>99</v>
      </c>
      <c r="F16" s="664" t="s">
        <v>238</v>
      </c>
      <c r="G16" s="1177" t="str">
        <f>IFERROR(H16*'Лайт+АКУСТИК DDP'!O16," ")</f>
        <v xml:space="preserve"> </v>
      </c>
      <c r="H16" s="259" t="s">
        <v>528</v>
      </c>
      <c r="I16" s="259" t="s">
        <v>83</v>
      </c>
      <c r="J16" s="131">
        <v>12</v>
      </c>
      <c r="K16" s="168">
        <v>8.64</v>
      </c>
      <c r="L16" s="132">
        <v>0.432</v>
      </c>
      <c r="M16" s="133">
        <v>16</v>
      </c>
      <c r="N16" s="172">
        <v>6.9119999999999999</v>
      </c>
      <c r="O16" s="223">
        <v>76.031999999999996</v>
      </c>
      <c r="P16" s="132"/>
      <c r="Q16" s="88">
        <v>829.43999999999994</v>
      </c>
      <c r="R16" s="99">
        <v>2024</v>
      </c>
      <c r="S16" s="101">
        <v>96</v>
      </c>
      <c r="U16" s="77"/>
      <c r="X16" s="4"/>
    </row>
    <row r="17" spans="1:24" ht="22.5" customHeight="1" thickBot="1" x14ac:dyDescent="0.3">
      <c r="A17" s="1271"/>
      <c r="B17" s="203">
        <v>1200</v>
      </c>
      <c r="C17" s="204">
        <v>600</v>
      </c>
      <c r="D17" s="209">
        <v>60</v>
      </c>
      <c r="E17" s="254" t="s">
        <v>100</v>
      </c>
      <c r="F17" s="238" t="s">
        <v>46</v>
      </c>
      <c r="G17" s="1176">
        <f>IFERROR(H17*'Лайт+АКУСТИК DDP'!O17," ")</f>
        <v>165.88800000000001</v>
      </c>
      <c r="H17" s="124">
        <f>ROUNDUP(5500/34/'Лайт+АКУСТИК DDP'!O17,0)</f>
        <v>24</v>
      </c>
      <c r="I17" s="170">
        <v>1078.2719999999999</v>
      </c>
      <c r="J17" s="125">
        <v>10</v>
      </c>
      <c r="K17" s="166">
        <v>7.2</v>
      </c>
      <c r="L17" s="126">
        <v>0.432</v>
      </c>
      <c r="M17" s="127">
        <v>16</v>
      </c>
      <c r="N17" s="173">
        <v>6.9119999999999999</v>
      </c>
      <c r="O17" s="223">
        <v>76.031999999999996</v>
      </c>
      <c r="P17" s="126"/>
      <c r="Q17" s="88">
        <f t="shared" ref="Q17:Q66" si="4">L17*R17</f>
        <v>874.36799999999994</v>
      </c>
      <c r="R17" s="99">
        <v>2024</v>
      </c>
      <c r="S17" s="101">
        <f t="shared" ref="S17:S66" si="5">R17*D17/1000</f>
        <v>121.44</v>
      </c>
      <c r="U17" s="77"/>
      <c r="X17" s="4"/>
    </row>
    <row r="18" spans="1:24" ht="22.5" customHeight="1" thickBot="1" x14ac:dyDescent="0.3">
      <c r="A18" s="1271"/>
      <c r="B18" s="203">
        <v>1200</v>
      </c>
      <c r="C18" s="204">
        <v>600</v>
      </c>
      <c r="D18" s="209">
        <v>70</v>
      </c>
      <c r="E18" s="254" t="s">
        <v>101</v>
      </c>
      <c r="F18" s="238" t="s">
        <v>46</v>
      </c>
      <c r="G18" s="1176">
        <f>IFERROR(H18*'Лайт+АКУСТИК DDP'!O18," ")</f>
        <v>167.7312</v>
      </c>
      <c r="H18" s="124">
        <f>ROUNDUP(5500/34/'Лайт+АКУСТИК DDP'!O18,0)</f>
        <v>26</v>
      </c>
      <c r="I18" s="170">
        <v>1045.0944</v>
      </c>
      <c r="J18" s="125">
        <v>8</v>
      </c>
      <c r="K18" s="166">
        <v>5.7600000000000007</v>
      </c>
      <c r="L18" s="126">
        <v>0.4032</v>
      </c>
      <c r="M18" s="127">
        <v>16</v>
      </c>
      <c r="N18" s="173">
        <v>6.4512</v>
      </c>
      <c r="O18" s="223">
        <v>70.963200000000001</v>
      </c>
      <c r="P18" s="126"/>
      <c r="Q18" s="88">
        <f t="shared" si="4"/>
        <v>816.07680000000005</v>
      </c>
      <c r="R18" s="99">
        <v>2024</v>
      </c>
      <c r="S18" s="101">
        <f t="shared" si="5"/>
        <v>141.68</v>
      </c>
      <c r="U18" s="77"/>
      <c r="X18" s="4"/>
    </row>
    <row r="19" spans="1:24" ht="22.5" customHeight="1" thickBot="1" x14ac:dyDescent="0.3">
      <c r="A19" s="1271"/>
      <c r="B19" s="203">
        <v>1200</v>
      </c>
      <c r="C19" s="204">
        <v>600</v>
      </c>
      <c r="D19" s="209">
        <v>80</v>
      </c>
      <c r="E19" s="254" t="s">
        <v>102</v>
      </c>
      <c r="F19" s="238" t="s">
        <v>46</v>
      </c>
      <c r="G19" s="1176">
        <f>IFERROR(H19*'Лайт+АКУСТИК DDP'!O19," ")</f>
        <v>165.88800000000003</v>
      </c>
      <c r="H19" s="124">
        <f>ROUNDUP(5500/34/'Лайт+АКУСТИК DDP'!O19,0)</f>
        <v>24</v>
      </c>
      <c r="I19" s="170">
        <v>1119.7440000000001</v>
      </c>
      <c r="J19" s="125">
        <v>6</v>
      </c>
      <c r="K19" s="166">
        <v>4.32</v>
      </c>
      <c r="L19" s="126">
        <v>0.34560000000000002</v>
      </c>
      <c r="M19" s="127">
        <v>20</v>
      </c>
      <c r="N19" s="173">
        <v>6.9120000000000008</v>
      </c>
      <c r="O19" s="223">
        <v>76.032000000000011</v>
      </c>
      <c r="P19" s="126"/>
      <c r="Q19" s="88">
        <f t="shared" si="4"/>
        <v>699.49440000000004</v>
      </c>
      <c r="R19" s="99">
        <v>2024</v>
      </c>
      <c r="S19" s="101">
        <f t="shared" si="5"/>
        <v>161.91999999999999</v>
      </c>
      <c r="U19" s="77"/>
      <c r="X19" s="4"/>
    </row>
    <row r="20" spans="1:24" ht="22.5" customHeight="1" thickBot="1" x14ac:dyDescent="0.3">
      <c r="A20" s="1271"/>
      <c r="B20" s="203">
        <v>1200</v>
      </c>
      <c r="C20" s="204">
        <v>600</v>
      </c>
      <c r="D20" s="209">
        <v>90</v>
      </c>
      <c r="E20" s="254" t="s">
        <v>103</v>
      </c>
      <c r="F20" s="238" t="s">
        <v>46</v>
      </c>
      <c r="G20" s="1176">
        <f>IFERROR(H20*'Лайт+АКУСТИК DDP'!O20," ")</f>
        <v>167.9616</v>
      </c>
      <c r="H20" s="124">
        <f>ROUNDUP(5500/34/'Лайт+АКУСТИК DDP'!O20,0)</f>
        <v>27</v>
      </c>
      <c r="I20" s="170">
        <v>1007.7696000000001</v>
      </c>
      <c r="J20" s="125">
        <v>6</v>
      </c>
      <c r="K20" s="166">
        <v>4.32</v>
      </c>
      <c r="L20" s="126">
        <v>0.38879999999999998</v>
      </c>
      <c r="M20" s="127">
        <v>16</v>
      </c>
      <c r="N20" s="173">
        <v>6.2207999999999997</v>
      </c>
      <c r="O20" s="223">
        <v>68.428799999999995</v>
      </c>
      <c r="P20" s="126"/>
      <c r="Q20" s="88">
        <f t="shared" si="4"/>
        <v>786.93119999999999</v>
      </c>
      <c r="R20" s="99">
        <v>2024</v>
      </c>
      <c r="S20" s="101">
        <f t="shared" si="5"/>
        <v>182.16</v>
      </c>
      <c r="U20" s="77"/>
      <c r="X20" s="4"/>
    </row>
    <row r="21" spans="1:24" ht="22.5" customHeight="1" thickBot="1" x14ac:dyDescent="0.3">
      <c r="A21" s="1271"/>
      <c r="B21" s="203">
        <v>1200</v>
      </c>
      <c r="C21" s="204">
        <v>600</v>
      </c>
      <c r="D21" s="209">
        <v>100</v>
      </c>
      <c r="E21" s="254" t="s">
        <v>89</v>
      </c>
      <c r="F21" s="238" t="s">
        <v>238</v>
      </c>
      <c r="G21" s="1176" t="str">
        <f>IFERROR(H21*'Лайт+АКУСТИК DDP'!O21," ")</f>
        <v xml:space="preserve"> </v>
      </c>
      <c r="H21" s="124" t="s">
        <v>528</v>
      </c>
      <c r="I21" s="170" t="s">
        <v>83</v>
      </c>
      <c r="J21" s="125">
        <v>6</v>
      </c>
      <c r="K21" s="166">
        <v>4.32</v>
      </c>
      <c r="L21" s="126">
        <v>0.432</v>
      </c>
      <c r="M21" s="127">
        <v>16</v>
      </c>
      <c r="N21" s="173">
        <v>6.9119999999999999</v>
      </c>
      <c r="O21" s="223">
        <v>76.031999999999996</v>
      </c>
      <c r="P21" s="126"/>
      <c r="Q21" s="88">
        <f t="shared" si="4"/>
        <v>874.36799999999994</v>
      </c>
      <c r="R21" s="99">
        <v>2024</v>
      </c>
      <c r="S21" s="101">
        <f t="shared" si="5"/>
        <v>202.4</v>
      </c>
      <c r="U21" s="77"/>
      <c r="X21" s="4"/>
    </row>
    <row r="22" spans="1:24" ht="22.5" customHeight="1" thickBot="1" x14ac:dyDescent="0.3">
      <c r="A22" s="1271"/>
      <c r="B22" s="203">
        <v>1200</v>
      </c>
      <c r="C22" s="204">
        <v>600</v>
      </c>
      <c r="D22" s="209">
        <v>110</v>
      </c>
      <c r="E22" s="254" t="s">
        <v>90</v>
      </c>
      <c r="F22" s="238" t="s">
        <v>46</v>
      </c>
      <c r="G22" s="1176">
        <f>IFERROR(H22*'Лайт+АКУСТИК DDP'!O22," ")</f>
        <v>164.73600000000002</v>
      </c>
      <c r="H22" s="124">
        <f>ROUNDUP(5500/34/'Лайт+АКУСТИК DDP'!O22,0)</f>
        <v>26</v>
      </c>
      <c r="I22" s="170">
        <v>969.40800000000013</v>
      </c>
      <c r="J22" s="125">
        <v>4</v>
      </c>
      <c r="K22" s="166">
        <v>2.8800000000000003</v>
      </c>
      <c r="L22" s="132">
        <v>0.31680000000000003</v>
      </c>
      <c r="M22" s="127">
        <v>20</v>
      </c>
      <c r="N22" s="173">
        <v>6.3360000000000003</v>
      </c>
      <c r="O22" s="223">
        <v>69.695999999999998</v>
      </c>
      <c r="P22" s="126"/>
      <c r="Q22" s="88">
        <f t="shared" si="4"/>
        <v>641.20320000000004</v>
      </c>
      <c r="R22" s="99">
        <v>2024</v>
      </c>
      <c r="S22" s="101">
        <f t="shared" si="5"/>
        <v>222.64</v>
      </c>
      <c r="U22" s="77"/>
      <c r="X22" s="4"/>
    </row>
    <row r="23" spans="1:24" ht="22.5" customHeight="1" thickBot="1" x14ac:dyDescent="0.3">
      <c r="A23" s="1271"/>
      <c r="B23" s="203">
        <v>1200</v>
      </c>
      <c r="C23" s="204">
        <v>600</v>
      </c>
      <c r="D23" s="209">
        <v>120</v>
      </c>
      <c r="E23" s="254" t="s">
        <v>91</v>
      </c>
      <c r="F23" s="238" t="s">
        <v>46</v>
      </c>
      <c r="G23" s="1176">
        <f>IFERROR(H23*'Лайт+АКУСТИК DDP'!O23," ")</f>
        <v>165.88800000000001</v>
      </c>
      <c r="H23" s="124">
        <f>ROUNDUP(5500/34/'Лайт+АКУСТИК DDP'!O23,0)</f>
        <v>24</v>
      </c>
      <c r="I23" s="170">
        <v>974.59199999999987</v>
      </c>
      <c r="J23" s="125">
        <v>5</v>
      </c>
      <c r="K23" s="166">
        <v>3.6</v>
      </c>
      <c r="L23" s="126">
        <v>0.432</v>
      </c>
      <c r="M23" s="127">
        <v>16</v>
      </c>
      <c r="N23" s="173">
        <v>6.9119999999999999</v>
      </c>
      <c r="O23" s="223">
        <v>76.031999999999996</v>
      </c>
      <c r="P23" s="126"/>
      <c r="Q23" s="88">
        <f t="shared" si="4"/>
        <v>874.36799999999994</v>
      </c>
      <c r="R23" s="99">
        <v>2024</v>
      </c>
      <c r="S23" s="101">
        <f t="shared" si="5"/>
        <v>242.88</v>
      </c>
      <c r="U23" s="77"/>
      <c r="X23" s="4"/>
    </row>
    <row r="24" spans="1:24" ht="22.5" customHeight="1" thickBot="1" x14ac:dyDescent="0.3">
      <c r="A24" s="1271"/>
      <c r="B24" s="203">
        <v>1200</v>
      </c>
      <c r="C24" s="204">
        <v>600</v>
      </c>
      <c r="D24" s="209">
        <v>130</v>
      </c>
      <c r="E24" s="254" t="s">
        <v>694</v>
      </c>
      <c r="F24" s="238" t="s">
        <v>46</v>
      </c>
      <c r="G24" s="1176">
        <f>IFERROR(H24*'Лайт+АКУСТИК DDP'!O24," ")</f>
        <v>168.48000000000002</v>
      </c>
      <c r="H24" s="124">
        <f>ROUNDUP(5500/34/'Лайт+АКУСТИК DDP'!O24,0)</f>
        <v>25</v>
      </c>
      <c r="I24" s="170"/>
      <c r="J24" s="125">
        <v>3</v>
      </c>
      <c r="K24" s="166">
        <v>2.16</v>
      </c>
      <c r="L24" s="126">
        <v>0.28079999999999999</v>
      </c>
      <c r="M24" s="127">
        <v>24</v>
      </c>
      <c r="N24" s="173">
        <v>6.7392000000000003</v>
      </c>
      <c r="O24" s="223">
        <v>74.131200000000007</v>
      </c>
      <c r="P24" s="126"/>
      <c r="Q24" s="88">
        <f t="shared" si="4"/>
        <v>568.33920000000001</v>
      </c>
      <c r="R24" s="99">
        <v>2024</v>
      </c>
      <c r="S24" s="101">
        <f t="shared" si="5"/>
        <v>263.12</v>
      </c>
      <c r="U24" s="77"/>
      <c r="X24" s="4"/>
    </row>
    <row r="25" spans="1:24" ht="22.5" customHeight="1" thickBot="1" x14ac:dyDescent="0.3">
      <c r="A25" s="1271"/>
      <c r="B25" s="203">
        <v>1200</v>
      </c>
      <c r="C25" s="204">
        <v>600</v>
      </c>
      <c r="D25" s="209">
        <v>140</v>
      </c>
      <c r="E25" s="254" t="s">
        <v>92</v>
      </c>
      <c r="F25" s="238" t="s">
        <v>46</v>
      </c>
      <c r="G25" s="1176">
        <f>IFERROR(H25*'Лайт+АКУСТИК DDP'!O25," ")</f>
        <v>167.7312</v>
      </c>
      <c r="H25" s="124">
        <f>ROUNDUP(5500/34/'Лайт+АКУСТИК DDP'!O25,0)</f>
        <v>26</v>
      </c>
      <c r="I25" s="170">
        <v>909.61920000000009</v>
      </c>
      <c r="J25" s="125">
        <v>4</v>
      </c>
      <c r="K25" s="166">
        <v>2.8800000000000003</v>
      </c>
      <c r="L25" s="126">
        <v>0.4032</v>
      </c>
      <c r="M25" s="127">
        <v>16</v>
      </c>
      <c r="N25" s="173">
        <v>6.4512</v>
      </c>
      <c r="O25" s="223">
        <v>70.963200000000001</v>
      </c>
      <c r="P25" s="126"/>
      <c r="Q25" s="88">
        <f t="shared" si="4"/>
        <v>816.07680000000005</v>
      </c>
      <c r="R25" s="99">
        <v>2024</v>
      </c>
      <c r="S25" s="101">
        <f t="shared" si="5"/>
        <v>283.36</v>
      </c>
      <c r="U25" s="77"/>
      <c r="X25" s="4"/>
    </row>
    <row r="26" spans="1:24" ht="22.5" customHeight="1" thickBot="1" x14ac:dyDescent="0.3">
      <c r="A26" s="1271"/>
      <c r="B26" s="203">
        <v>1200</v>
      </c>
      <c r="C26" s="204">
        <v>600</v>
      </c>
      <c r="D26" s="209">
        <v>150</v>
      </c>
      <c r="E26" s="254" t="s">
        <v>93</v>
      </c>
      <c r="F26" s="238" t="s">
        <v>46</v>
      </c>
      <c r="G26" s="1176">
        <f>IFERROR(H26*'Лайт+АКУСТИК DDP'!O26," ")</f>
        <v>165.88800000000001</v>
      </c>
      <c r="H26" s="124">
        <f>ROUNDUP(5500/34/'Лайт+АКУСТИК DDP'!O26,0)</f>
        <v>24</v>
      </c>
      <c r="I26" s="170">
        <v>974.59199999999987</v>
      </c>
      <c r="J26" s="125">
        <v>4</v>
      </c>
      <c r="K26" s="166">
        <v>2.8800000000000003</v>
      </c>
      <c r="L26" s="126">
        <v>0.432</v>
      </c>
      <c r="M26" s="127">
        <v>16</v>
      </c>
      <c r="N26" s="173">
        <v>6.9119999999999999</v>
      </c>
      <c r="O26" s="223">
        <v>76.031999999999996</v>
      </c>
      <c r="P26" s="126"/>
      <c r="Q26" s="88">
        <f t="shared" si="4"/>
        <v>874.36799999999994</v>
      </c>
      <c r="R26" s="99">
        <v>2024</v>
      </c>
      <c r="S26" s="101">
        <f t="shared" si="5"/>
        <v>303.60000000000002</v>
      </c>
      <c r="U26" s="77"/>
      <c r="X26" s="4"/>
    </row>
    <row r="27" spans="1:24" ht="22.5" customHeight="1" thickBot="1" x14ac:dyDescent="0.3">
      <c r="A27" s="1271"/>
      <c r="B27" s="203">
        <v>1200</v>
      </c>
      <c r="C27" s="204">
        <v>600</v>
      </c>
      <c r="D27" s="209">
        <v>160</v>
      </c>
      <c r="E27" s="254" t="s">
        <v>94</v>
      </c>
      <c r="F27" s="238" t="s">
        <v>46</v>
      </c>
      <c r="G27" s="1176">
        <f>IFERROR(H27*'Лайт+АКУСТИК DDP'!O27," ")</f>
        <v>165.88800000000003</v>
      </c>
      <c r="H27" s="124">
        <f>ROUNDUP(5500/34/'Лайт+АКУСТИК DDP'!O27,0)</f>
        <v>24</v>
      </c>
      <c r="I27" s="170">
        <v>974.5920000000001</v>
      </c>
      <c r="J27" s="125">
        <v>3</v>
      </c>
      <c r="K27" s="166">
        <v>2.16</v>
      </c>
      <c r="L27" s="126">
        <v>0.34560000000000002</v>
      </c>
      <c r="M27" s="127">
        <v>20</v>
      </c>
      <c r="N27" s="173">
        <v>6.9120000000000008</v>
      </c>
      <c r="O27" s="223">
        <v>76.032000000000011</v>
      </c>
      <c r="P27" s="126"/>
      <c r="Q27" s="88" t="e">
        <f t="shared" si="4"/>
        <v>#VALUE!</v>
      </c>
      <c r="R27" s="99" t="s">
        <v>417</v>
      </c>
      <c r="S27" s="101" t="e">
        <f t="shared" si="5"/>
        <v>#VALUE!</v>
      </c>
      <c r="U27" s="77"/>
      <c r="X27" s="4"/>
    </row>
    <row r="28" spans="1:24" ht="22.5" customHeight="1" thickBot="1" x14ac:dyDescent="0.3">
      <c r="A28" s="1271"/>
      <c r="B28" s="203">
        <v>1200</v>
      </c>
      <c r="C28" s="204">
        <v>600</v>
      </c>
      <c r="D28" s="209">
        <v>170</v>
      </c>
      <c r="E28" s="254" t="s">
        <v>95</v>
      </c>
      <c r="F28" s="238" t="s">
        <v>46</v>
      </c>
      <c r="G28" s="1176">
        <f>IFERROR(H28*'Лайт+АКУСТИК DDP'!O28," ")</f>
        <v>164.50560000000002</v>
      </c>
      <c r="H28" s="124">
        <f>ROUNDUP(5500/34/'Лайт+АКУСТИК DDP'!O28,0)</f>
        <v>28</v>
      </c>
      <c r="I28" s="170">
        <v>828.40320000000008</v>
      </c>
      <c r="J28" s="125">
        <v>3</v>
      </c>
      <c r="K28" s="166">
        <v>2.16</v>
      </c>
      <c r="L28" s="126">
        <v>0.36720000000000003</v>
      </c>
      <c r="M28" s="127">
        <v>16</v>
      </c>
      <c r="N28" s="173">
        <v>5.8752000000000004</v>
      </c>
      <c r="O28" s="223">
        <v>64.627200000000002</v>
      </c>
      <c r="P28" s="126"/>
      <c r="Q28" s="88" t="e">
        <f t="shared" si="4"/>
        <v>#VALUE!</v>
      </c>
      <c r="R28" s="99" t="s">
        <v>417</v>
      </c>
      <c r="S28" s="101" t="e">
        <f t="shared" si="5"/>
        <v>#VALUE!</v>
      </c>
      <c r="U28" s="77"/>
      <c r="X28" s="4"/>
    </row>
    <row r="29" spans="1:24" ht="22.5" customHeight="1" thickBot="1" x14ac:dyDescent="0.3">
      <c r="A29" s="1271"/>
      <c r="B29" s="203">
        <v>1200</v>
      </c>
      <c r="C29" s="204">
        <v>600</v>
      </c>
      <c r="D29" s="209">
        <v>180</v>
      </c>
      <c r="E29" s="254" t="s">
        <v>96</v>
      </c>
      <c r="F29" s="238" t="s">
        <v>46</v>
      </c>
      <c r="G29" s="1176">
        <f>IFERROR(H29*'Лайт+АКУСТИК DDP'!O29," ")</f>
        <v>167.9616</v>
      </c>
      <c r="H29" s="124">
        <f>ROUNDUP(5500/34/'Лайт+АКУСТИК DDP'!O29,0)</f>
        <v>27</v>
      </c>
      <c r="I29" s="170">
        <v>877.13279999999986</v>
      </c>
      <c r="J29" s="125">
        <v>3</v>
      </c>
      <c r="K29" s="166">
        <v>2.16</v>
      </c>
      <c r="L29" s="126">
        <v>0.38879999999999998</v>
      </c>
      <c r="M29" s="127">
        <v>16</v>
      </c>
      <c r="N29" s="173">
        <v>6.2207999999999997</v>
      </c>
      <c r="O29" s="223">
        <v>68.428799999999995</v>
      </c>
      <c r="P29" s="126"/>
      <c r="Q29" s="88" t="e">
        <f t="shared" si="4"/>
        <v>#VALUE!</v>
      </c>
      <c r="R29" s="99" t="s">
        <v>417</v>
      </c>
      <c r="S29" s="101" t="e">
        <f t="shared" si="5"/>
        <v>#VALUE!</v>
      </c>
      <c r="U29" s="77"/>
      <c r="X29" s="4"/>
    </row>
    <row r="30" spans="1:24" ht="22.5" customHeight="1" thickBot="1" x14ac:dyDescent="0.3">
      <c r="A30" s="1271"/>
      <c r="B30" s="203">
        <v>1200</v>
      </c>
      <c r="C30" s="204">
        <v>600</v>
      </c>
      <c r="D30" s="209">
        <v>190</v>
      </c>
      <c r="E30" s="254" t="s">
        <v>97</v>
      </c>
      <c r="F30" s="238" t="s">
        <v>46</v>
      </c>
      <c r="G30" s="1176">
        <f>IFERROR(H30*'Лайт+АКУСТИК DDP'!O30," ")</f>
        <v>164.16000000000003</v>
      </c>
      <c r="H30" s="124">
        <f>ROUNDUP(5500/34/'Лайт+АКУСТИК DDP'!O30,0)</f>
        <v>25</v>
      </c>
      <c r="I30" s="170">
        <v>925.86239999999998</v>
      </c>
      <c r="J30" s="125">
        <v>3</v>
      </c>
      <c r="K30" s="166">
        <v>2.16</v>
      </c>
      <c r="L30" s="126">
        <v>0.41039999999999999</v>
      </c>
      <c r="M30" s="127">
        <v>16</v>
      </c>
      <c r="N30" s="173">
        <v>6.5663999999999998</v>
      </c>
      <c r="O30" s="223">
        <v>72.230400000000003</v>
      </c>
      <c r="P30" s="126"/>
      <c r="Q30" s="88" t="e">
        <f t="shared" si="4"/>
        <v>#VALUE!</v>
      </c>
      <c r="R30" s="99" t="s">
        <v>417</v>
      </c>
      <c r="S30" s="101" t="e">
        <f t="shared" si="5"/>
        <v>#VALUE!</v>
      </c>
      <c r="U30" s="77"/>
      <c r="X30" s="4"/>
    </row>
    <row r="31" spans="1:24" ht="22.5" customHeight="1" thickBot="1" x14ac:dyDescent="0.3">
      <c r="A31" s="1272"/>
      <c r="B31" s="240">
        <v>1200</v>
      </c>
      <c r="C31" s="241">
        <v>600</v>
      </c>
      <c r="D31" s="242">
        <v>200</v>
      </c>
      <c r="E31" s="257" t="s">
        <v>98</v>
      </c>
      <c r="F31" s="238" t="s">
        <v>46</v>
      </c>
      <c r="G31" s="613">
        <f>IFERROR(H31*'Лайт+АКУСТИК DDP'!O31," ")</f>
        <v>165.88800000000001</v>
      </c>
      <c r="H31" s="258">
        <f>ROUNDUP(5500/34/'Лайт+АКУСТИК DDP'!O31,0)</f>
        <v>24</v>
      </c>
      <c r="I31" s="262">
        <v>974.59199999999987</v>
      </c>
      <c r="J31" s="128">
        <v>3</v>
      </c>
      <c r="K31" s="167">
        <v>2.16</v>
      </c>
      <c r="L31" s="129">
        <v>0.432</v>
      </c>
      <c r="M31" s="130">
        <v>16</v>
      </c>
      <c r="N31" s="248">
        <v>6.9119999999999999</v>
      </c>
      <c r="O31" s="243">
        <v>76.031999999999996</v>
      </c>
      <c r="P31" s="129"/>
      <c r="Q31" s="89" t="e">
        <f t="shared" si="4"/>
        <v>#VALUE!</v>
      </c>
      <c r="R31" s="99" t="s">
        <v>417</v>
      </c>
      <c r="S31" s="102" t="e">
        <f t="shared" si="5"/>
        <v>#VALUE!</v>
      </c>
      <c r="U31" s="77"/>
      <c r="X31" s="4"/>
    </row>
    <row r="32" spans="1:24" ht="22.5" customHeight="1" thickBot="1" x14ac:dyDescent="0.3">
      <c r="A32" s="35" t="s">
        <v>8</v>
      </c>
      <c r="B32" s="252">
        <v>1200</v>
      </c>
      <c r="C32" s="250">
        <v>600</v>
      </c>
      <c r="D32" s="251">
        <v>50</v>
      </c>
      <c r="E32" s="253" t="s">
        <v>118</v>
      </c>
      <c r="F32" s="238" t="s">
        <v>238</v>
      </c>
      <c r="G32" s="1177" t="str">
        <f>IFERROR(H32*'Лайт+АКУСТИК DDP'!O32," ")</f>
        <v xml:space="preserve"> </v>
      </c>
      <c r="H32" s="259" t="s">
        <v>528</v>
      </c>
      <c r="I32" s="124" t="s">
        <v>83</v>
      </c>
      <c r="J32" s="131">
        <v>12</v>
      </c>
      <c r="K32" s="168">
        <v>8.64</v>
      </c>
      <c r="L32" s="132">
        <v>0.432</v>
      </c>
      <c r="M32" s="133">
        <v>16</v>
      </c>
      <c r="N32" s="225">
        <v>6.9119999999999999</v>
      </c>
      <c r="O32" s="226">
        <v>76.031999999999996</v>
      </c>
      <c r="P32" s="132"/>
      <c r="Q32" s="88">
        <f>L32*R32</f>
        <v>970.70399999999995</v>
      </c>
      <c r="R32" s="99">
        <v>2247</v>
      </c>
      <c r="S32" s="101">
        <f>R32*D32/1000</f>
        <v>112.35</v>
      </c>
      <c r="U32" s="77"/>
      <c r="X32" s="4"/>
    </row>
    <row r="33" spans="1:24" ht="22.5" customHeight="1" thickBot="1" x14ac:dyDescent="0.3">
      <c r="A33" s="1246" t="s">
        <v>31</v>
      </c>
      <c r="B33" s="203">
        <v>1200</v>
      </c>
      <c r="C33" s="204">
        <v>600</v>
      </c>
      <c r="D33" s="209">
        <v>60</v>
      </c>
      <c r="E33" s="254" t="s">
        <v>119</v>
      </c>
      <c r="F33" s="238" t="s">
        <v>46</v>
      </c>
      <c r="G33" s="1176">
        <f>IFERROR(H33*'Лайт+АКУСТИК DDP'!O33," ")</f>
        <v>145.15199999999999</v>
      </c>
      <c r="H33" s="124">
        <f>ROUNDUP(5500/38/'Лайт+АКУСТИК DDP'!O33,0)</f>
        <v>21</v>
      </c>
      <c r="I33" s="170">
        <v>953.85599999999999</v>
      </c>
      <c r="J33" s="125">
        <v>10</v>
      </c>
      <c r="K33" s="166">
        <v>7.2</v>
      </c>
      <c r="L33" s="126">
        <v>0.432</v>
      </c>
      <c r="M33" s="127">
        <v>16</v>
      </c>
      <c r="N33" s="175">
        <v>6.9119999999999999</v>
      </c>
      <c r="O33" s="227">
        <v>76.031999999999996</v>
      </c>
      <c r="P33" s="126"/>
      <c r="Q33" s="88">
        <f t="shared" si="4"/>
        <v>970.70399999999995</v>
      </c>
      <c r="R33" s="99">
        <v>2247</v>
      </c>
      <c r="S33" s="101">
        <f t="shared" si="5"/>
        <v>134.82</v>
      </c>
      <c r="U33" s="77"/>
      <c r="X33" s="4"/>
    </row>
    <row r="34" spans="1:24" ht="22.5" customHeight="1" thickBot="1" x14ac:dyDescent="0.3">
      <c r="A34" s="1246"/>
      <c r="B34" s="203">
        <v>1200</v>
      </c>
      <c r="C34" s="204">
        <v>600</v>
      </c>
      <c r="D34" s="209">
        <v>70</v>
      </c>
      <c r="E34" s="254" t="s">
        <v>120</v>
      </c>
      <c r="F34" s="238" t="s">
        <v>46</v>
      </c>
      <c r="G34" s="1176">
        <f>IFERROR(H34*'Лайт+АКУСТИК DDP'!O34," ")</f>
        <v>148.3776</v>
      </c>
      <c r="H34" s="124">
        <f>ROUNDUP(5500/38/'Лайт+АКУСТИК DDP'!O34,0)</f>
        <v>23</v>
      </c>
      <c r="I34" s="170">
        <v>928.97280000000001</v>
      </c>
      <c r="J34" s="125">
        <v>8</v>
      </c>
      <c r="K34" s="166">
        <v>5.7600000000000007</v>
      </c>
      <c r="L34" s="126">
        <v>0.4032</v>
      </c>
      <c r="M34" s="127">
        <v>16</v>
      </c>
      <c r="N34" s="175">
        <v>6.4512</v>
      </c>
      <c r="O34" s="227">
        <v>70.963200000000001</v>
      </c>
      <c r="P34" s="126"/>
      <c r="Q34" s="88">
        <f t="shared" si="4"/>
        <v>905.99040000000002</v>
      </c>
      <c r="R34" s="99">
        <v>2247</v>
      </c>
      <c r="S34" s="101">
        <f t="shared" si="5"/>
        <v>157.29</v>
      </c>
      <c r="U34" s="77"/>
      <c r="X34" s="4"/>
    </row>
    <row r="35" spans="1:24" ht="22.5" customHeight="1" thickBot="1" x14ac:dyDescent="0.3">
      <c r="A35" s="1246"/>
      <c r="B35" s="203">
        <v>1200</v>
      </c>
      <c r="C35" s="204">
        <v>600</v>
      </c>
      <c r="D35" s="209">
        <v>80</v>
      </c>
      <c r="E35" s="254" t="s">
        <v>121</v>
      </c>
      <c r="F35" s="238" t="s">
        <v>46</v>
      </c>
      <c r="G35" s="1176">
        <f>IFERROR(H35*'Лайт+АКУСТИК DDP'!O35," ")</f>
        <v>145.15200000000002</v>
      </c>
      <c r="H35" s="124">
        <f>ROUNDUP(5500/38/'Лайт+АКУСТИК DDP'!O35,0)</f>
        <v>21</v>
      </c>
      <c r="I35" s="170">
        <v>870.91200000000003</v>
      </c>
      <c r="J35" s="125">
        <v>6</v>
      </c>
      <c r="K35" s="166">
        <v>4.32</v>
      </c>
      <c r="L35" s="126">
        <v>0.34560000000000002</v>
      </c>
      <c r="M35" s="127">
        <v>20</v>
      </c>
      <c r="N35" s="175">
        <v>6.9120000000000008</v>
      </c>
      <c r="O35" s="227">
        <v>76.032000000000011</v>
      </c>
      <c r="P35" s="126"/>
      <c r="Q35" s="88">
        <f t="shared" si="4"/>
        <v>776.56320000000005</v>
      </c>
      <c r="R35" s="99">
        <v>2247</v>
      </c>
      <c r="S35" s="101">
        <f t="shared" si="5"/>
        <v>179.76</v>
      </c>
      <c r="U35" s="77"/>
      <c r="X35" s="4"/>
    </row>
    <row r="36" spans="1:24" ht="22.5" customHeight="1" thickBot="1" x14ac:dyDescent="0.3">
      <c r="A36" s="1246"/>
      <c r="B36" s="203">
        <v>1200</v>
      </c>
      <c r="C36" s="204">
        <v>600</v>
      </c>
      <c r="D36" s="209">
        <v>90</v>
      </c>
      <c r="E36" s="254" t="s">
        <v>122</v>
      </c>
      <c r="F36" s="238" t="s">
        <v>46</v>
      </c>
      <c r="G36" s="1176">
        <f>IFERROR(H36*'Лайт+АКУСТИК DDP'!O36," ")</f>
        <v>149.29920000000001</v>
      </c>
      <c r="H36" s="124">
        <f>ROUNDUP(5500/38/'Лайт+АКУСТИК DDP'!O36,0)</f>
        <v>24</v>
      </c>
      <c r="I36" s="170">
        <v>858.47039999999993</v>
      </c>
      <c r="J36" s="125">
        <v>6</v>
      </c>
      <c r="K36" s="166">
        <v>4.32</v>
      </c>
      <c r="L36" s="126">
        <v>0.38879999999999998</v>
      </c>
      <c r="M36" s="127">
        <v>16</v>
      </c>
      <c r="N36" s="175">
        <v>6.2207999999999997</v>
      </c>
      <c r="O36" s="227">
        <v>68.428799999999995</v>
      </c>
      <c r="P36" s="126"/>
      <c r="Q36" s="88">
        <f t="shared" si="4"/>
        <v>873.6336</v>
      </c>
      <c r="R36" s="99">
        <v>2247</v>
      </c>
      <c r="S36" s="101">
        <f t="shared" si="5"/>
        <v>202.23</v>
      </c>
      <c r="U36" s="77"/>
      <c r="X36" s="4"/>
    </row>
    <row r="37" spans="1:24" ht="24.75" customHeight="1" thickBot="1" x14ac:dyDescent="0.3">
      <c r="A37" s="1246"/>
      <c r="B37" s="203">
        <v>1200</v>
      </c>
      <c r="C37" s="204">
        <v>600</v>
      </c>
      <c r="D37" s="209">
        <v>100</v>
      </c>
      <c r="E37" s="254" t="s">
        <v>123</v>
      </c>
      <c r="F37" s="238" t="s">
        <v>239</v>
      </c>
      <c r="G37" s="1176" t="str">
        <f>IFERROR(H37*'Лайт+АКУСТИК DDP'!O37," ")</f>
        <v xml:space="preserve"> </v>
      </c>
      <c r="H37" s="124" t="s">
        <v>528</v>
      </c>
      <c r="I37" s="224" t="s">
        <v>83</v>
      </c>
      <c r="J37" s="125">
        <v>6</v>
      </c>
      <c r="K37" s="166">
        <v>4.32</v>
      </c>
      <c r="L37" s="126">
        <v>0.432</v>
      </c>
      <c r="M37" s="127">
        <v>16</v>
      </c>
      <c r="N37" s="175">
        <v>6.9119999999999999</v>
      </c>
      <c r="O37" s="227">
        <v>76.031999999999996</v>
      </c>
      <c r="P37" s="126"/>
      <c r="Q37" s="88">
        <f t="shared" si="4"/>
        <v>970.70399999999995</v>
      </c>
      <c r="R37" s="99">
        <v>2247</v>
      </c>
      <c r="S37" s="101">
        <f t="shared" si="5"/>
        <v>224.7</v>
      </c>
      <c r="U37" s="77"/>
      <c r="X37" s="4"/>
    </row>
    <row r="38" spans="1:24" ht="22.5" customHeight="1" thickBot="1" x14ac:dyDescent="0.3">
      <c r="A38" s="1246"/>
      <c r="B38" s="203">
        <v>1200</v>
      </c>
      <c r="C38" s="204">
        <v>600</v>
      </c>
      <c r="D38" s="209">
        <v>110</v>
      </c>
      <c r="E38" s="254" t="s">
        <v>124</v>
      </c>
      <c r="F38" s="238" t="s">
        <v>46</v>
      </c>
      <c r="G38" s="1176">
        <f>IFERROR(H38*'Лайт+АКУСТИК DDP'!O38," ")</f>
        <v>145.72800000000001</v>
      </c>
      <c r="H38" s="124">
        <f>ROUNDUP(5500/38/'Лайт+АКУСТИК DDP'!O38,0)</f>
        <v>23</v>
      </c>
      <c r="I38" s="170">
        <v>874.36800000000005</v>
      </c>
      <c r="J38" s="125">
        <v>5</v>
      </c>
      <c r="K38" s="166">
        <v>3.6000000000000005</v>
      </c>
      <c r="L38" s="126">
        <v>0.39600000000000002</v>
      </c>
      <c r="M38" s="127">
        <v>16</v>
      </c>
      <c r="N38" s="175">
        <v>6.3360000000000003</v>
      </c>
      <c r="O38" s="227">
        <v>69.695999999999998</v>
      </c>
      <c r="P38" s="126"/>
      <c r="Q38" s="88">
        <f t="shared" si="4"/>
        <v>889.81200000000001</v>
      </c>
      <c r="R38" s="99">
        <v>2247</v>
      </c>
      <c r="S38" s="101">
        <f t="shared" si="5"/>
        <v>247.17</v>
      </c>
      <c r="U38" s="77"/>
      <c r="X38" s="4"/>
    </row>
    <row r="39" spans="1:24" ht="22.5" customHeight="1" thickBot="1" x14ac:dyDescent="0.3">
      <c r="A39" s="1246"/>
      <c r="B39" s="203">
        <v>1200</v>
      </c>
      <c r="C39" s="204">
        <v>600</v>
      </c>
      <c r="D39" s="209">
        <v>120</v>
      </c>
      <c r="E39" s="254" t="s">
        <v>125</v>
      </c>
      <c r="F39" s="238" t="s">
        <v>46</v>
      </c>
      <c r="G39" s="1176">
        <f>IFERROR(H39*'Лайт+АКУСТИК DDP'!O39," ")</f>
        <v>145.15199999999999</v>
      </c>
      <c r="H39" s="124">
        <f>ROUNDUP(5500/38/'Лайт+АКУСТИК DDP'!O39,0)</f>
        <v>21</v>
      </c>
      <c r="I39" s="170">
        <v>870.91199999999992</v>
      </c>
      <c r="J39" s="125">
        <v>5</v>
      </c>
      <c r="K39" s="166">
        <v>3.6</v>
      </c>
      <c r="L39" s="126">
        <v>0.432</v>
      </c>
      <c r="M39" s="127">
        <v>16</v>
      </c>
      <c r="N39" s="175">
        <v>6.9119999999999999</v>
      </c>
      <c r="O39" s="227">
        <v>76.031999999999996</v>
      </c>
      <c r="P39" s="126"/>
      <c r="Q39" s="88">
        <f t="shared" si="4"/>
        <v>970.70399999999995</v>
      </c>
      <c r="R39" s="99">
        <v>2247</v>
      </c>
      <c r="S39" s="101">
        <f t="shared" si="5"/>
        <v>269.64</v>
      </c>
      <c r="U39" s="77"/>
      <c r="X39" s="4"/>
    </row>
    <row r="40" spans="1:24" ht="22.5" customHeight="1" thickBot="1" x14ac:dyDescent="0.3">
      <c r="A40" s="1246"/>
      <c r="B40" s="203">
        <v>1200</v>
      </c>
      <c r="C40" s="204">
        <v>600</v>
      </c>
      <c r="D40" s="209">
        <v>130</v>
      </c>
      <c r="E40" s="254" t="s">
        <v>695</v>
      </c>
      <c r="F40" s="238" t="s">
        <v>46</v>
      </c>
      <c r="G40" s="1176">
        <f>IFERROR(H40*'Лайт+АКУСТИК DDP'!O40," ")</f>
        <v>148.26240000000001</v>
      </c>
      <c r="H40" s="124">
        <f>ROUNDUP(5500/38/'Лайт+АКУСТИК DDP'!O40,0)</f>
        <v>22</v>
      </c>
      <c r="I40" s="170"/>
      <c r="J40" s="125">
        <v>3</v>
      </c>
      <c r="K40" s="166">
        <v>2.16</v>
      </c>
      <c r="L40" s="126">
        <v>0.28079999999999999</v>
      </c>
      <c r="M40" s="127">
        <v>24</v>
      </c>
      <c r="N40" s="175">
        <v>6.7392000000000003</v>
      </c>
      <c r="O40" s="227">
        <v>74.131200000000007</v>
      </c>
      <c r="P40" s="126"/>
      <c r="Q40" s="88">
        <f t="shared" si="4"/>
        <v>630.95759999999996</v>
      </c>
      <c r="R40" s="99">
        <v>2247</v>
      </c>
      <c r="S40" s="101">
        <f t="shared" si="5"/>
        <v>292.11</v>
      </c>
      <c r="U40" s="77"/>
      <c r="X40" s="4"/>
    </row>
    <row r="41" spans="1:24" ht="22.5" customHeight="1" thickBot="1" x14ac:dyDescent="0.3">
      <c r="A41" s="1246"/>
      <c r="B41" s="203">
        <v>1200</v>
      </c>
      <c r="C41" s="204">
        <v>600</v>
      </c>
      <c r="D41" s="209">
        <v>140</v>
      </c>
      <c r="E41" s="254" t="s">
        <v>126</v>
      </c>
      <c r="F41" s="238" t="s">
        <v>46</v>
      </c>
      <c r="G41" s="1176">
        <f>IFERROR(H41*'Лайт+АКУСТИК DDP'!O41," ")</f>
        <v>148.3776</v>
      </c>
      <c r="H41" s="124">
        <f>ROUNDUP(5500/38/'Лайт+АКУСТИК DDP'!O41,0)</f>
        <v>23</v>
      </c>
      <c r="I41" s="170">
        <v>870.91199999999992</v>
      </c>
      <c r="J41" s="125">
        <v>4</v>
      </c>
      <c r="K41" s="166">
        <v>2.8800000000000003</v>
      </c>
      <c r="L41" s="126">
        <v>0.4032</v>
      </c>
      <c r="M41" s="127">
        <v>16</v>
      </c>
      <c r="N41" s="175">
        <v>6.4512</v>
      </c>
      <c r="O41" s="227">
        <v>70.963200000000001</v>
      </c>
      <c r="P41" s="126"/>
      <c r="Q41" s="88">
        <f t="shared" si="4"/>
        <v>905.99040000000002</v>
      </c>
      <c r="R41" s="99">
        <v>2247</v>
      </c>
      <c r="S41" s="101">
        <f t="shared" si="5"/>
        <v>314.58</v>
      </c>
      <c r="U41" s="77"/>
      <c r="X41" s="4"/>
    </row>
    <row r="42" spans="1:24" ht="22.5" customHeight="1" thickBot="1" x14ac:dyDescent="0.3">
      <c r="A42" s="1246"/>
      <c r="B42" s="203">
        <v>1200</v>
      </c>
      <c r="C42" s="204">
        <v>600</v>
      </c>
      <c r="D42" s="209">
        <v>150</v>
      </c>
      <c r="E42" s="254" t="s">
        <v>127</v>
      </c>
      <c r="F42" s="238" t="s">
        <v>46</v>
      </c>
      <c r="G42" s="1176">
        <f>IFERROR(H42*'Лайт+АКУСТИК DDP'!O42," ")</f>
        <v>145.15199999999999</v>
      </c>
      <c r="H42" s="124">
        <f>ROUNDUP(5500/38/'Лайт+АКУСТИК DDP'!O42,0)</f>
        <v>21</v>
      </c>
      <c r="I42" s="170">
        <v>870.91199999999992</v>
      </c>
      <c r="J42" s="125">
        <v>4</v>
      </c>
      <c r="K42" s="166">
        <v>2.8800000000000003</v>
      </c>
      <c r="L42" s="126">
        <v>0.432</v>
      </c>
      <c r="M42" s="127">
        <v>16</v>
      </c>
      <c r="N42" s="175">
        <v>6.9119999999999999</v>
      </c>
      <c r="O42" s="227">
        <v>76.031999999999996</v>
      </c>
      <c r="P42" s="126"/>
      <c r="Q42" s="88">
        <f t="shared" si="4"/>
        <v>970.70399999999995</v>
      </c>
      <c r="R42" s="99">
        <v>2247</v>
      </c>
      <c r="S42" s="101">
        <f t="shared" si="5"/>
        <v>337.05</v>
      </c>
      <c r="U42" s="77"/>
      <c r="X42" s="4"/>
    </row>
    <row r="43" spans="1:24" ht="22.5" customHeight="1" thickBot="1" x14ac:dyDescent="0.3">
      <c r="A43" s="1246"/>
      <c r="B43" s="203">
        <v>1200</v>
      </c>
      <c r="C43" s="204">
        <v>600</v>
      </c>
      <c r="D43" s="209">
        <v>160</v>
      </c>
      <c r="E43" s="254" t="s">
        <v>128</v>
      </c>
      <c r="F43" s="238" t="s">
        <v>46</v>
      </c>
      <c r="G43" s="1176">
        <f>IFERROR(H43*'Лайт+АКУСТИК DDP'!O43," ")</f>
        <v>145.15200000000002</v>
      </c>
      <c r="H43" s="124">
        <f>ROUNDUP(5500/38/'Лайт+АКУСТИК DDP'!O43,0)</f>
        <v>21</v>
      </c>
      <c r="I43" s="170">
        <v>870.91200000000003</v>
      </c>
      <c r="J43" s="125">
        <v>3</v>
      </c>
      <c r="K43" s="166">
        <v>2.16</v>
      </c>
      <c r="L43" s="126">
        <v>0.34560000000000002</v>
      </c>
      <c r="M43" s="127">
        <v>20</v>
      </c>
      <c r="N43" s="175">
        <v>6.9120000000000008</v>
      </c>
      <c r="O43" s="227">
        <v>76.032000000000011</v>
      </c>
      <c r="P43" s="126"/>
      <c r="Q43" s="88" t="e">
        <f t="shared" si="4"/>
        <v>#VALUE!</v>
      </c>
      <c r="R43" s="99" t="s">
        <v>417</v>
      </c>
      <c r="S43" s="101" t="e">
        <f t="shared" si="5"/>
        <v>#VALUE!</v>
      </c>
      <c r="U43" s="77"/>
      <c r="X43" s="4"/>
    </row>
    <row r="44" spans="1:24" ht="22.5" customHeight="1" thickBot="1" x14ac:dyDescent="0.3">
      <c r="A44" s="1246"/>
      <c r="B44" s="203">
        <v>1200</v>
      </c>
      <c r="C44" s="204">
        <v>600</v>
      </c>
      <c r="D44" s="209">
        <v>170</v>
      </c>
      <c r="E44" s="254" t="s">
        <v>129</v>
      </c>
      <c r="F44" s="238" t="s">
        <v>46</v>
      </c>
      <c r="G44" s="1176">
        <f>IFERROR(H44*'Лайт+АКУСТИК DDP'!O44," ")</f>
        <v>146.88000000000002</v>
      </c>
      <c r="H44" s="124">
        <f>ROUNDUP(5500/38/'Лайт+АКУСТИК DDP'!O44,0)</f>
        <v>25</v>
      </c>
      <c r="I44" s="170">
        <v>740.27520000000004</v>
      </c>
      <c r="J44" s="125">
        <v>3</v>
      </c>
      <c r="K44" s="166">
        <v>2.16</v>
      </c>
      <c r="L44" s="126">
        <v>0.36720000000000003</v>
      </c>
      <c r="M44" s="127">
        <v>16</v>
      </c>
      <c r="N44" s="175">
        <v>5.8752000000000004</v>
      </c>
      <c r="O44" s="227">
        <v>64.627200000000002</v>
      </c>
      <c r="P44" s="126"/>
      <c r="Q44" s="88" t="e">
        <f t="shared" si="4"/>
        <v>#VALUE!</v>
      </c>
      <c r="R44" s="99" t="s">
        <v>417</v>
      </c>
      <c r="S44" s="101" t="e">
        <f t="shared" si="5"/>
        <v>#VALUE!</v>
      </c>
      <c r="U44" s="77"/>
      <c r="X44" s="4"/>
    </row>
    <row r="45" spans="1:24" ht="22.5" customHeight="1" thickBot="1" x14ac:dyDescent="0.3">
      <c r="A45" s="1246"/>
      <c r="B45" s="203">
        <v>1200</v>
      </c>
      <c r="C45" s="204">
        <v>600</v>
      </c>
      <c r="D45" s="209">
        <v>180</v>
      </c>
      <c r="E45" s="254" t="s">
        <v>130</v>
      </c>
      <c r="F45" s="238" t="s">
        <v>46</v>
      </c>
      <c r="G45" s="1176">
        <f>IFERROR(H45*'Лайт+АКУСТИК DDP'!O45," ")</f>
        <v>149.29920000000001</v>
      </c>
      <c r="H45" s="124">
        <f>ROUNDUP(5500/38/'Лайт+АКУСТИК DDP'!O45,0)</f>
        <v>24</v>
      </c>
      <c r="I45" s="170">
        <v>783.82079999999996</v>
      </c>
      <c r="J45" s="125">
        <v>3</v>
      </c>
      <c r="K45" s="166">
        <v>2.16</v>
      </c>
      <c r="L45" s="126">
        <v>0.38879999999999998</v>
      </c>
      <c r="M45" s="127">
        <v>16</v>
      </c>
      <c r="N45" s="175">
        <v>6.2207999999999997</v>
      </c>
      <c r="O45" s="227">
        <v>68.428799999999995</v>
      </c>
      <c r="P45" s="126"/>
      <c r="Q45" s="88" t="e">
        <f t="shared" si="4"/>
        <v>#VALUE!</v>
      </c>
      <c r="R45" s="99" t="s">
        <v>417</v>
      </c>
      <c r="S45" s="101" t="e">
        <f t="shared" si="5"/>
        <v>#VALUE!</v>
      </c>
      <c r="U45" s="77"/>
      <c r="X45" s="4"/>
    </row>
    <row r="46" spans="1:24" ht="22.5" customHeight="1" thickBot="1" x14ac:dyDescent="0.3">
      <c r="A46" s="1246"/>
      <c r="B46" s="203">
        <v>1200</v>
      </c>
      <c r="C46" s="204">
        <v>600</v>
      </c>
      <c r="D46" s="209">
        <v>190</v>
      </c>
      <c r="E46" s="254" t="s">
        <v>131</v>
      </c>
      <c r="F46" s="238" t="s">
        <v>46</v>
      </c>
      <c r="G46" s="1176">
        <f>IFERROR(H46*'Лайт+АКУСТИК DDP'!O46," ")</f>
        <v>151.02720000000002</v>
      </c>
      <c r="H46" s="124">
        <f>ROUNDUP(5500/38/'Лайт+АКУСТИК DDP'!O46,0)</f>
        <v>23</v>
      </c>
      <c r="I46" s="170">
        <v>827.36639999999989</v>
      </c>
      <c r="J46" s="125">
        <v>3</v>
      </c>
      <c r="K46" s="166">
        <v>2.16</v>
      </c>
      <c r="L46" s="126">
        <v>0.41039999999999999</v>
      </c>
      <c r="M46" s="127">
        <v>16</v>
      </c>
      <c r="N46" s="175">
        <v>6.5663999999999998</v>
      </c>
      <c r="O46" s="227">
        <v>72.230400000000003</v>
      </c>
      <c r="P46" s="126"/>
      <c r="Q46" s="88" t="e">
        <f t="shared" si="4"/>
        <v>#VALUE!</v>
      </c>
      <c r="R46" s="99" t="s">
        <v>417</v>
      </c>
      <c r="S46" s="101" t="e">
        <f t="shared" si="5"/>
        <v>#VALUE!</v>
      </c>
      <c r="U46" s="77"/>
      <c r="X46" s="4"/>
    </row>
    <row r="47" spans="1:24" ht="22.5" customHeight="1" thickBot="1" x14ac:dyDescent="0.3">
      <c r="A47" s="1247"/>
      <c r="B47" s="240">
        <v>1200</v>
      </c>
      <c r="C47" s="241">
        <v>600</v>
      </c>
      <c r="D47" s="242">
        <v>200</v>
      </c>
      <c r="E47" s="257" t="s">
        <v>132</v>
      </c>
      <c r="F47" s="238" t="s">
        <v>46</v>
      </c>
      <c r="G47" s="613">
        <f>IFERROR(H47*'Лайт+АКУСТИК DDP'!O47," ")</f>
        <v>145.15199999999999</v>
      </c>
      <c r="H47" s="258">
        <f>ROUNDUP(5500/38/'Лайт+АКУСТИК DDP'!O47,0)</f>
        <v>21</v>
      </c>
      <c r="I47" s="262">
        <v>870.91199999999992</v>
      </c>
      <c r="J47" s="128">
        <v>3</v>
      </c>
      <c r="K47" s="167">
        <v>2.16</v>
      </c>
      <c r="L47" s="129">
        <v>0.432</v>
      </c>
      <c r="M47" s="130">
        <v>16</v>
      </c>
      <c r="N47" s="248">
        <v>6.9119999999999999</v>
      </c>
      <c r="O47" s="243">
        <v>76.031999999999996</v>
      </c>
      <c r="P47" s="129"/>
      <c r="Q47" s="89" t="e">
        <f t="shared" si="4"/>
        <v>#VALUE!</v>
      </c>
      <c r="R47" s="99" t="s">
        <v>417</v>
      </c>
      <c r="S47" s="102" t="e">
        <f t="shared" si="5"/>
        <v>#VALUE!</v>
      </c>
      <c r="U47" s="77"/>
      <c r="X47" s="4"/>
    </row>
    <row r="48" spans="1:24" ht="22.5" customHeight="1" thickBot="1" x14ac:dyDescent="0.3">
      <c r="A48" s="35" t="s">
        <v>9</v>
      </c>
      <c r="B48" s="252">
        <v>1200</v>
      </c>
      <c r="C48" s="250">
        <v>600</v>
      </c>
      <c r="D48" s="251">
        <v>50</v>
      </c>
      <c r="E48" s="253" t="s">
        <v>104</v>
      </c>
      <c r="F48" s="238" t="s">
        <v>238</v>
      </c>
      <c r="G48" s="1177" t="str">
        <f>IFERROR(H48*'Лайт+АКУСТИК DDP'!O48," ")</f>
        <v xml:space="preserve"> </v>
      </c>
      <c r="H48" s="259" t="s">
        <v>528</v>
      </c>
      <c r="I48" s="224" t="s">
        <v>83</v>
      </c>
      <c r="J48" s="131">
        <v>12</v>
      </c>
      <c r="K48" s="168">
        <v>8.64</v>
      </c>
      <c r="L48" s="228">
        <v>0.432</v>
      </c>
      <c r="M48" s="133">
        <v>16</v>
      </c>
      <c r="N48" s="171">
        <v>6.9119999999999999</v>
      </c>
      <c r="O48" s="229">
        <v>76.031999999999996</v>
      </c>
      <c r="P48" s="228"/>
      <c r="Q48" s="88" t="e">
        <f>L48*R48</f>
        <v>#VALUE!</v>
      </c>
      <c r="R48" s="99" t="s">
        <v>417</v>
      </c>
      <c r="S48" s="101" t="e">
        <f>R48*D48/1000</f>
        <v>#VALUE!</v>
      </c>
      <c r="U48" s="77"/>
      <c r="X48" s="4"/>
    </row>
    <row r="49" spans="1:24" ht="22.5" customHeight="1" thickBot="1" x14ac:dyDescent="0.3">
      <c r="A49" s="877"/>
      <c r="B49" s="203">
        <v>1200</v>
      </c>
      <c r="C49" s="204">
        <v>600</v>
      </c>
      <c r="D49" s="209">
        <v>50</v>
      </c>
      <c r="E49" s="254" t="s">
        <v>460</v>
      </c>
      <c r="F49" s="238" t="s">
        <v>238</v>
      </c>
      <c r="G49" s="1176" t="str">
        <f>IFERROR(H49*'Лайт+АКУСТИК DDP'!O49," ")</f>
        <v xml:space="preserve"> </v>
      </c>
      <c r="H49" s="124" t="s">
        <v>528</v>
      </c>
      <c r="I49" s="170"/>
      <c r="J49" s="125">
        <v>8</v>
      </c>
      <c r="K49" s="166"/>
      <c r="L49" s="126"/>
      <c r="M49" s="127"/>
      <c r="N49" s="173"/>
      <c r="O49" s="220">
        <v>76.031999999999996</v>
      </c>
      <c r="P49" s="126"/>
      <c r="Q49" s="88">
        <f t="shared" ref="Q49:Q50" si="6">L49*R49</f>
        <v>0</v>
      </c>
      <c r="R49" s="99">
        <v>2500</v>
      </c>
      <c r="S49" s="101">
        <f t="shared" ref="S49:S50" si="7">R49*D49/1000</f>
        <v>125</v>
      </c>
      <c r="U49" s="77"/>
      <c r="X49" s="4"/>
    </row>
    <row r="50" spans="1:24" ht="22.5" customHeight="1" thickBot="1" x14ac:dyDescent="0.3">
      <c r="A50" s="877"/>
      <c r="B50" s="203">
        <v>1200</v>
      </c>
      <c r="C50" s="204">
        <v>600</v>
      </c>
      <c r="D50" s="209">
        <v>50</v>
      </c>
      <c r="E50" s="254" t="s">
        <v>610</v>
      </c>
      <c r="F50" s="238" t="s">
        <v>239</v>
      </c>
      <c r="G50" s="1176" t="str">
        <f>IFERROR(H50*'Лайт+АКУСТИК DDP'!O50," ")</f>
        <v xml:space="preserve"> </v>
      </c>
      <c r="H50" s="124" t="s">
        <v>528</v>
      </c>
      <c r="I50" s="170">
        <v>746.49599999999998</v>
      </c>
      <c r="J50" s="125">
        <v>6</v>
      </c>
      <c r="K50" s="166">
        <v>4.32</v>
      </c>
      <c r="L50" s="126">
        <v>0.216</v>
      </c>
      <c r="M50" s="127">
        <v>32</v>
      </c>
      <c r="N50" s="173">
        <v>6.9119999999999999</v>
      </c>
      <c r="O50" s="220">
        <v>76.031999999999996</v>
      </c>
      <c r="P50" s="126"/>
      <c r="Q50" s="88">
        <f t="shared" si="6"/>
        <v>540</v>
      </c>
      <c r="R50" s="99">
        <v>2500</v>
      </c>
      <c r="S50" s="101">
        <f t="shared" si="7"/>
        <v>125</v>
      </c>
      <c r="U50" s="77"/>
      <c r="X50" s="4"/>
    </row>
    <row r="51" spans="1:24" ht="22.5" customHeight="1" thickBot="1" x14ac:dyDescent="0.3">
      <c r="A51" s="708" t="s">
        <v>26</v>
      </c>
      <c r="B51" s="203">
        <v>1200</v>
      </c>
      <c r="C51" s="204">
        <v>600</v>
      </c>
      <c r="D51" s="209">
        <v>60</v>
      </c>
      <c r="E51" s="254" t="s">
        <v>105</v>
      </c>
      <c r="F51" s="238" t="s">
        <v>46</v>
      </c>
      <c r="G51" s="1176">
        <f>IFERROR(H51*'Лайт+АКУСТИК DDP'!O51," ")</f>
        <v>124.416</v>
      </c>
      <c r="H51" s="124">
        <f>ROUNDUP(5500/45/'Лайт+АКУСТИК DDP'!O51,0)</f>
        <v>18</v>
      </c>
      <c r="I51" s="170">
        <v>746.49599999999998</v>
      </c>
      <c r="J51" s="125">
        <v>10</v>
      </c>
      <c r="K51" s="166">
        <v>7.2</v>
      </c>
      <c r="L51" s="126">
        <v>0.432</v>
      </c>
      <c r="M51" s="127">
        <v>16</v>
      </c>
      <c r="N51" s="173">
        <v>6.9119999999999999</v>
      </c>
      <c r="O51" s="220">
        <v>76.031999999999996</v>
      </c>
      <c r="P51" s="126"/>
      <c r="Q51" s="88">
        <f t="shared" si="4"/>
        <v>1080</v>
      </c>
      <c r="R51" s="99">
        <v>2500</v>
      </c>
      <c r="S51" s="101">
        <f t="shared" si="5"/>
        <v>150</v>
      </c>
      <c r="U51" s="77"/>
      <c r="X51" s="4"/>
    </row>
    <row r="52" spans="1:24" ht="22.5" customHeight="1" thickBot="1" x14ac:dyDescent="0.3">
      <c r="A52" s="708"/>
      <c r="B52" s="203">
        <v>1200</v>
      </c>
      <c r="C52" s="204">
        <v>600</v>
      </c>
      <c r="D52" s="209">
        <v>70</v>
      </c>
      <c r="E52" s="254" t="s">
        <v>106</v>
      </c>
      <c r="F52" s="238" t="s">
        <v>46</v>
      </c>
      <c r="G52" s="1176">
        <f>IFERROR(H52*'Лайт+АКУСТИК DDP'!O52," ")</f>
        <v>122.5728</v>
      </c>
      <c r="H52" s="124">
        <f>ROUNDUP(5500/45/'Лайт+АКУСТИК DDP'!O52,0)</f>
        <v>19</v>
      </c>
      <c r="I52" s="170">
        <v>716.08320000000003</v>
      </c>
      <c r="J52" s="125">
        <v>8</v>
      </c>
      <c r="K52" s="166">
        <v>5.7600000000000007</v>
      </c>
      <c r="L52" s="126">
        <v>0.4032</v>
      </c>
      <c r="M52" s="127">
        <v>16</v>
      </c>
      <c r="N52" s="173">
        <v>6.4512</v>
      </c>
      <c r="O52" s="230">
        <v>70.963200000000001</v>
      </c>
      <c r="P52" s="126"/>
      <c r="Q52" s="88">
        <f t="shared" si="4"/>
        <v>1008</v>
      </c>
      <c r="R52" s="99">
        <v>2500</v>
      </c>
      <c r="S52" s="101">
        <f t="shared" si="5"/>
        <v>175</v>
      </c>
      <c r="U52" s="77"/>
      <c r="X52" s="4"/>
    </row>
    <row r="53" spans="1:24" ht="22.5" customHeight="1" thickBot="1" x14ac:dyDescent="0.3">
      <c r="A53" s="708"/>
      <c r="B53" s="203">
        <v>1200</v>
      </c>
      <c r="C53" s="204">
        <v>600</v>
      </c>
      <c r="D53" s="209">
        <v>80</v>
      </c>
      <c r="E53" s="254" t="s">
        <v>107</v>
      </c>
      <c r="F53" s="238" t="s">
        <v>46</v>
      </c>
      <c r="G53" s="1176">
        <f>IFERROR(H53*'Лайт+АКУСТИК DDP'!O53," ")</f>
        <v>124.41600000000001</v>
      </c>
      <c r="H53" s="124">
        <f>ROUNDUP(5500/45/'Лайт+АКУСТИК DDP'!O53,0)</f>
        <v>18</v>
      </c>
      <c r="I53" s="170">
        <v>684.28800000000012</v>
      </c>
      <c r="J53" s="125">
        <v>6</v>
      </c>
      <c r="K53" s="166">
        <v>4.32</v>
      </c>
      <c r="L53" s="126">
        <v>0.34560000000000002</v>
      </c>
      <c r="M53" s="127">
        <v>20</v>
      </c>
      <c r="N53" s="173">
        <v>6.9120000000000008</v>
      </c>
      <c r="O53" s="231">
        <v>76.032000000000011</v>
      </c>
      <c r="P53" s="126"/>
      <c r="Q53" s="88">
        <f t="shared" si="4"/>
        <v>864</v>
      </c>
      <c r="R53" s="99">
        <v>2500</v>
      </c>
      <c r="S53" s="101">
        <f t="shared" si="5"/>
        <v>200</v>
      </c>
      <c r="U53" s="77"/>
      <c r="X53" s="4"/>
    </row>
    <row r="54" spans="1:24" ht="22.5" customHeight="1" thickBot="1" x14ac:dyDescent="0.3">
      <c r="A54" s="708"/>
      <c r="B54" s="203">
        <v>1200</v>
      </c>
      <c r="C54" s="204">
        <v>600</v>
      </c>
      <c r="D54" s="209">
        <v>90</v>
      </c>
      <c r="E54" s="254" t="s">
        <v>108</v>
      </c>
      <c r="F54" s="238" t="s">
        <v>46</v>
      </c>
      <c r="G54" s="1176">
        <f>IFERROR(H54*'Лайт+АКУСТИК DDP'!O54," ")</f>
        <v>124.41600000000001</v>
      </c>
      <c r="H54" s="124">
        <f>ROUNDUP(5500/45/'Лайт+АКУСТИК DDP'!O54,0)</f>
        <v>20</v>
      </c>
      <c r="I54" s="170">
        <v>671.8463999999999</v>
      </c>
      <c r="J54" s="125">
        <v>6</v>
      </c>
      <c r="K54" s="166">
        <v>4.32</v>
      </c>
      <c r="L54" s="132">
        <v>0.38879999999999998</v>
      </c>
      <c r="M54" s="127">
        <v>16</v>
      </c>
      <c r="N54" s="173">
        <v>6.2207999999999997</v>
      </c>
      <c r="O54" s="231">
        <v>68.428799999999995</v>
      </c>
      <c r="P54" s="126"/>
      <c r="Q54" s="88">
        <f t="shared" si="4"/>
        <v>972</v>
      </c>
      <c r="R54" s="99">
        <v>2500</v>
      </c>
      <c r="S54" s="101">
        <f t="shared" si="5"/>
        <v>225</v>
      </c>
      <c r="U54" s="77"/>
      <c r="X54" s="4"/>
    </row>
    <row r="55" spans="1:24" ht="22.5" customHeight="1" thickBot="1" x14ac:dyDescent="0.3">
      <c r="A55" s="708"/>
      <c r="B55" s="203">
        <v>1200</v>
      </c>
      <c r="C55" s="204">
        <v>600</v>
      </c>
      <c r="D55" s="209">
        <v>100</v>
      </c>
      <c r="E55" s="254" t="s">
        <v>109</v>
      </c>
      <c r="F55" s="238" t="s">
        <v>239</v>
      </c>
      <c r="G55" s="1176" t="str">
        <f>IFERROR(H55*'Лайт+АКУСТИК DDP'!O55," ")</f>
        <v xml:space="preserve"> </v>
      </c>
      <c r="H55" s="124" t="s">
        <v>528</v>
      </c>
      <c r="I55" s="170" t="s">
        <v>179</v>
      </c>
      <c r="J55" s="125">
        <v>6</v>
      </c>
      <c r="K55" s="166">
        <v>4.32</v>
      </c>
      <c r="L55" s="126">
        <v>0.432</v>
      </c>
      <c r="M55" s="127">
        <v>16</v>
      </c>
      <c r="N55" s="173">
        <v>6.9119999999999999</v>
      </c>
      <c r="O55" s="220">
        <v>76.031999999999996</v>
      </c>
      <c r="P55" s="126"/>
      <c r="Q55" s="88" t="e">
        <f t="shared" si="4"/>
        <v>#VALUE!</v>
      </c>
      <c r="R55" s="99" t="s">
        <v>528</v>
      </c>
      <c r="S55" s="101" t="e">
        <f t="shared" si="5"/>
        <v>#VALUE!</v>
      </c>
      <c r="U55" s="77"/>
      <c r="X55" s="4"/>
    </row>
    <row r="56" spans="1:24" ht="22.5" customHeight="1" thickBot="1" x14ac:dyDescent="0.3">
      <c r="A56" s="708"/>
      <c r="B56" s="203">
        <v>1200</v>
      </c>
      <c r="C56" s="204">
        <v>600</v>
      </c>
      <c r="D56" s="209">
        <v>100</v>
      </c>
      <c r="E56" s="254" t="s">
        <v>461</v>
      </c>
      <c r="F56" s="238" t="s">
        <v>239</v>
      </c>
      <c r="G56" s="1176" t="str">
        <f>IFERROR(H56*'Лайт+АКУСТИК DDP'!O56," ")</f>
        <v xml:space="preserve"> </v>
      </c>
      <c r="H56" s="124" t="s">
        <v>528</v>
      </c>
      <c r="I56" s="170"/>
      <c r="J56" s="125">
        <v>4</v>
      </c>
      <c r="K56" s="166"/>
      <c r="L56" s="126"/>
      <c r="M56" s="127"/>
      <c r="N56" s="173"/>
      <c r="O56" s="230">
        <v>76.031999999999996</v>
      </c>
      <c r="P56" s="126"/>
      <c r="Q56" s="88">
        <f t="shared" si="4"/>
        <v>0</v>
      </c>
      <c r="R56" s="99">
        <v>2500</v>
      </c>
      <c r="S56" s="101">
        <f t="shared" si="5"/>
        <v>250</v>
      </c>
      <c r="U56" s="77"/>
      <c r="X56" s="4"/>
    </row>
    <row r="57" spans="1:24" ht="22.5" customHeight="1" thickBot="1" x14ac:dyDescent="0.3">
      <c r="A57" s="708"/>
      <c r="B57" s="203">
        <v>1200</v>
      </c>
      <c r="C57" s="204">
        <v>600</v>
      </c>
      <c r="D57" s="209">
        <v>110</v>
      </c>
      <c r="E57" s="254" t="s">
        <v>696</v>
      </c>
      <c r="F57" s="238" t="s">
        <v>46</v>
      </c>
      <c r="G57" s="1176">
        <f>IFERROR(H57*'Лайт+АКУСТИК DDP'!O57," ")</f>
        <v>126.40320000000001</v>
      </c>
      <c r="H57" s="124">
        <f>ROUNDUP(5500/45/'Лайт+АКУСТИК DDP'!O57,0)</f>
        <v>19</v>
      </c>
      <c r="I57" s="170"/>
      <c r="J57" s="125">
        <v>3</v>
      </c>
      <c r="K57" s="166">
        <v>2.16</v>
      </c>
      <c r="L57" s="126">
        <v>0.23760000000000001</v>
      </c>
      <c r="M57" s="127">
        <v>28</v>
      </c>
      <c r="N57" s="173">
        <v>6.6528</v>
      </c>
      <c r="O57" s="231">
        <v>73.180800000000005</v>
      </c>
      <c r="P57" s="126"/>
      <c r="Q57" s="88">
        <f t="shared" si="4"/>
        <v>594</v>
      </c>
      <c r="R57" s="99">
        <v>2500</v>
      </c>
      <c r="S57" s="101">
        <f t="shared" si="5"/>
        <v>275</v>
      </c>
      <c r="U57" s="77"/>
      <c r="X57" s="4"/>
    </row>
    <row r="58" spans="1:24" ht="22.5" customHeight="1" thickBot="1" x14ac:dyDescent="0.3">
      <c r="A58" s="708"/>
      <c r="B58" s="203">
        <v>1200</v>
      </c>
      <c r="C58" s="204">
        <v>600</v>
      </c>
      <c r="D58" s="209">
        <v>120</v>
      </c>
      <c r="E58" s="254" t="s">
        <v>110</v>
      </c>
      <c r="F58" s="238" t="s">
        <v>46</v>
      </c>
      <c r="G58" s="1176">
        <f>IFERROR(H58*'Лайт+АКУСТИК DDP'!O58," ")</f>
        <v>124.416</v>
      </c>
      <c r="H58" s="124">
        <f>ROUNDUP(5500/45/'Лайт+АКУСТИК DDP'!O58,0)</f>
        <v>18</v>
      </c>
      <c r="I58" s="170">
        <v>746.49600000000009</v>
      </c>
      <c r="J58" s="125">
        <v>4</v>
      </c>
      <c r="K58" s="166">
        <v>2.8800000000000003</v>
      </c>
      <c r="L58" s="126">
        <v>0.34560000000000002</v>
      </c>
      <c r="M58" s="127">
        <v>20</v>
      </c>
      <c r="N58" s="173">
        <v>6.9120000000000008</v>
      </c>
      <c r="O58" s="230">
        <v>76.032000000000011</v>
      </c>
      <c r="P58" s="126"/>
      <c r="Q58" s="88">
        <f t="shared" si="4"/>
        <v>864</v>
      </c>
      <c r="R58" s="99">
        <v>2500</v>
      </c>
      <c r="S58" s="101">
        <f t="shared" si="5"/>
        <v>300</v>
      </c>
      <c r="U58" s="77"/>
      <c r="X58" s="4"/>
    </row>
    <row r="59" spans="1:24" ht="22.5" customHeight="1" thickBot="1" x14ac:dyDescent="0.3">
      <c r="A59" s="708"/>
      <c r="B59" s="203">
        <v>1200</v>
      </c>
      <c r="C59" s="204">
        <v>600</v>
      </c>
      <c r="D59" s="209">
        <v>130</v>
      </c>
      <c r="E59" s="254" t="s">
        <v>697</v>
      </c>
      <c r="F59" s="238" t="s">
        <v>46</v>
      </c>
      <c r="G59" s="1176">
        <f>IFERROR(H59*'Лайт+АКУСТИК DDP'!O59," ")</f>
        <v>128.04480000000001</v>
      </c>
      <c r="H59" s="124">
        <f>ROUNDUP(5500/45/'Лайт+АКУСТИК DDP'!O59,0)</f>
        <v>19</v>
      </c>
      <c r="I59" s="170"/>
      <c r="J59" s="125">
        <v>3</v>
      </c>
      <c r="K59" s="166">
        <v>2.16</v>
      </c>
      <c r="L59" s="126">
        <v>0.28079999999999999</v>
      </c>
      <c r="M59" s="127">
        <v>24</v>
      </c>
      <c r="N59" s="173">
        <v>6.7392000000000003</v>
      </c>
      <c r="O59" s="230">
        <v>74.131200000000007</v>
      </c>
      <c r="P59" s="126"/>
      <c r="Q59" s="88">
        <f t="shared" si="4"/>
        <v>702</v>
      </c>
      <c r="R59" s="99">
        <v>2500</v>
      </c>
      <c r="S59" s="101">
        <f t="shared" si="5"/>
        <v>325</v>
      </c>
      <c r="U59" s="77"/>
      <c r="X59" s="4"/>
    </row>
    <row r="60" spans="1:24" ht="22.5" customHeight="1" thickBot="1" x14ac:dyDescent="0.3">
      <c r="A60" s="708"/>
      <c r="B60" s="203">
        <v>1200</v>
      </c>
      <c r="C60" s="204">
        <v>600</v>
      </c>
      <c r="D60" s="209">
        <v>140</v>
      </c>
      <c r="E60" s="254" t="s">
        <v>111</v>
      </c>
      <c r="F60" s="238" t="s">
        <v>46</v>
      </c>
      <c r="G60" s="1176">
        <f>IFERROR(H60*'Лайт+АКУСТИК DDP'!O60," ")</f>
        <v>122.5728</v>
      </c>
      <c r="H60" s="124">
        <f>ROUNDUP(5500/45/'Лайт+АКУСТИК DDP'!O60,0)</f>
        <v>19</v>
      </c>
      <c r="I60" s="170">
        <v>653.18399999999997</v>
      </c>
      <c r="J60" s="125">
        <v>3</v>
      </c>
      <c r="K60" s="166">
        <v>2.16</v>
      </c>
      <c r="L60" s="126">
        <v>0.3024</v>
      </c>
      <c r="M60" s="127">
        <v>20</v>
      </c>
      <c r="N60" s="173">
        <v>6.048</v>
      </c>
      <c r="O60" s="230">
        <v>66.528000000000006</v>
      </c>
      <c r="P60" s="126"/>
      <c r="Q60" s="88">
        <f t="shared" si="4"/>
        <v>756</v>
      </c>
      <c r="R60" s="99">
        <v>2500</v>
      </c>
      <c r="S60" s="101">
        <f t="shared" si="5"/>
        <v>350</v>
      </c>
      <c r="U60" s="77"/>
      <c r="X60" s="4"/>
    </row>
    <row r="61" spans="1:24" ht="22.5" customHeight="1" thickBot="1" x14ac:dyDescent="0.3">
      <c r="A61" s="708"/>
      <c r="B61" s="203">
        <v>1200</v>
      </c>
      <c r="C61" s="204">
        <v>600</v>
      </c>
      <c r="D61" s="209">
        <v>150</v>
      </c>
      <c r="E61" s="254" t="s">
        <v>112</v>
      </c>
      <c r="F61" s="238" t="s">
        <v>46</v>
      </c>
      <c r="G61" s="1176">
        <f>IFERROR(H61*'Лайт+АКУСТИК DDP'!O61," ")</f>
        <v>124.416</v>
      </c>
      <c r="H61" s="124">
        <f>ROUNDUP(5500/45/'Лайт+АКУСТИК DDP'!O61,0)</f>
        <v>18</v>
      </c>
      <c r="I61" s="170">
        <v>746.49599999999998</v>
      </c>
      <c r="J61" s="125">
        <v>4</v>
      </c>
      <c r="K61" s="166">
        <v>2.8800000000000003</v>
      </c>
      <c r="L61" s="126">
        <v>0.432</v>
      </c>
      <c r="M61" s="127">
        <v>16</v>
      </c>
      <c r="N61" s="173">
        <v>6.9119999999999999</v>
      </c>
      <c r="O61" s="231">
        <v>76.031999999999996</v>
      </c>
      <c r="P61" s="126"/>
      <c r="Q61" s="88">
        <f t="shared" si="4"/>
        <v>1080</v>
      </c>
      <c r="R61" s="99">
        <v>2500</v>
      </c>
      <c r="S61" s="101">
        <f t="shared" si="5"/>
        <v>375</v>
      </c>
      <c r="U61" s="77"/>
      <c r="X61" s="4"/>
    </row>
    <row r="62" spans="1:24" ht="22.5" customHeight="1" thickBot="1" x14ac:dyDescent="0.3">
      <c r="A62" s="708"/>
      <c r="B62" s="203">
        <v>1200</v>
      </c>
      <c r="C62" s="204">
        <v>600</v>
      </c>
      <c r="D62" s="209">
        <v>160</v>
      </c>
      <c r="E62" s="254" t="s">
        <v>113</v>
      </c>
      <c r="F62" s="238" t="s">
        <v>46</v>
      </c>
      <c r="G62" s="1176">
        <f>IFERROR(H62*'Лайт+АКУСТИК DDP'!O62," ")</f>
        <v>124.41600000000001</v>
      </c>
      <c r="H62" s="124">
        <f>ROUNDUP(5500/45/'Лайт+АКУСТИК DDP'!O62,0)</f>
        <v>18</v>
      </c>
      <c r="I62" s="170">
        <v>746.49600000000009</v>
      </c>
      <c r="J62" s="125">
        <v>3</v>
      </c>
      <c r="K62" s="166">
        <v>2.16</v>
      </c>
      <c r="L62" s="126">
        <v>0.34560000000000002</v>
      </c>
      <c r="M62" s="127">
        <v>20</v>
      </c>
      <c r="N62" s="173">
        <v>6.9120000000000008</v>
      </c>
      <c r="O62" s="230">
        <v>76.032000000000011</v>
      </c>
      <c r="P62" s="126"/>
      <c r="Q62" s="88" t="e">
        <f t="shared" si="4"/>
        <v>#VALUE!</v>
      </c>
      <c r="R62" s="99" t="s">
        <v>417</v>
      </c>
      <c r="S62" s="101" t="e">
        <f t="shared" si="5"/>
        <v>#VALUE!</v>
      </c>
      <c r="U62" s="77"/>
      <c r="X62" s="4"/>
    </row>
    <row r="63" spans="1:24" ht="22.5" customHeight="1" thickBot="1" x14ac:dyDescent="0.3">
      <c r="A63" s="708"/>
      <c r="B63" s="203">
        <v>1200</v>
      </c>
      <c r="C63" s="204">
        <v>600</v>
      </c>
      <c r="D63" s="209">
        <v>170</v>
      </c>
      <c r="E63" s="254" t="s">
        <v>114</v>
      </c>
      <c r="F63" s="238" t="s">
        <v>46</v>
      </c>
      <c r="G63" s="1176">
        <f>IFERROR(H63*'Лайт+АКУСТИК DDP'!O63," ")</f>
        <v>123.37920000000001</v>
      </c>
      <c r="H63" s="124">
        <f>ROUNDUP(5500/45/'Лайт+АКУСТИК DDP'!O63,0)</f>
        <v>21</v>
      </c>
      <c r="I63" s="170">
        <v>634.52160000000003</v>
      </c>
      <c r="J63" s="125">
        <v>3</v>
      </c>
      <c r="K63" s="166">
        <v>2.16</v>
      </c>
      <c r="L63" s="126">
        <v>0.36720000000000003</v>
      </c>
      <c r="M63" s="127">
        <v>16</v>
      </c>
      <c r="N63" s="173">
        <v>5.8752000000000004</v>
      </c>
      <c r="O63" s="230">
        <v>64.627200000000002</v>
      </c>
      <c r="P63" s="126"/>
      <c r="Q63" s="88" t="e">
        <f t="shared" si="4"/>
        <v>#VALUE!</v>
      </c>
      <c r="R63" s="99" t="s">
        <v>417</v>
      </c>
      <c r="S63" s="101" t="e">
        <f t="shared" si="5"/>
        <v>#VALUE!</v>
      </c>
      <c r="U63" s="77"/>
      <c r="X63" s="4"/>
    </row>
    <row r="64" spans="1:24" ht="22.5" customHeight="1" thickBot="1" x14ac:dyDescent="0.3">
      <c r="A64" s="708"/>
      <c r="B64" s="203">
        <v>1200</v>
      </c>
      <c r="C64" s="204">
        <v>600</v>
      </c>
      <c r="D64" s="209">
        <v>180</v>
      </c>
      <c r="E64" s="254" t="s">
        <v>115</v>
      </c>
      <c r="F64" s="238" t="s">
        <v>46</v>
      </c>
      <c r="G64" s="1176">
        <f>IFERROR(H64*'Лайт+АКУСТИК DDP'!O64," ")</f>
        <v>124.41600000000001</v>
      </c>
      <c r="H64" s="124">
        <f>ROUNDUP(5500/45/'Лайт+АКУСТИК DDP'!O64,0)</f>
        <v>20</v>
      </c>
      <c r="I64" s="170">
        <v>671.8463999999999</v>
      </c>
      <c r="J64" s="125">
        <v>3</v>
      </c>
      <c r="K64" s="166">
        <v>2.16</v>
      </c>
      <c r="L64" s="126">
        <v>0.38879999999999998</v>
      </c>
      <c r="M64" s="127">
        <v>16</v>
      </c>
      <c r="N64" s="173">
        <v>6.2207999999999997</v>
      </c>
      <c r="O64" s="231">
        <v>68.428799999999995</v>
      </c>
      <c r="P64" s="126"/>
      <c r="Q64" s="88" t="e">
        <f t="shared" si="4"/>
        <v>#VALUE!</v>
      </c>
      <c r="R64" s="99" t="s">
        <v>417</v>
      </c>
      <c r="S64" s="101" t="e">
        <f t="shared" si="5"/>
        <v>#VALUE!</v>
      </c>
      <c r="U64" s="77"/>
      <c r="X64" s="4"/>
    </row>
    <row r="65" spans="1:24" ht="22.5" customHeight="1" thickBot="1" x14ac:dyDescent="0.3">
      <c r="A65" s="708"/>
      <c r="B65" s="203">
        <v>1200</v>
      </c>
      <c r="C65" s="204">
        <v>600</v>
      </c>
      <c r="D65" s="209">
        <v>190</v>
      </c>
      <c r="E65" s="254" t="s">
        <v>116</v>
      </c>
      <c r="F65" s="238" t="s">
        <v>46</v>
      </c>
      <c r="G65" s="1176">
        <f>IFERROR(H65*'Лайт+АКУСТИК DDP'!O65," ")</f>
        <v>124.76160000000002</v>
      </c>
      <c r="H65" s="124">
        <f>ROUNDUP(5500/45/'Лайт+АКУСТИК DDP'!O65,0)</f>
        <v>19</v>
      </c>
      <c r="I65" s="170">
        <v>709.1712</v>
      </c>
      <c r="J65" s="125">
        <v>3</v>
      </c>
      <c r="K65" s="166">
        <v>2.16</v>
      </c>
      <c r="L65" s="126">
        <v>0.41039999999999999</v>
      </c>
      <c r="M65" s="127">
        <v>16</v>
      </c>
      <c r="N65" s="173">
        <v>6.5663999999999998</v>
      </c>
      <c r="O65" s="231">
        <v>72.230400000000003</v>
      </c>
      <c r="P65" s="126"/>
      <c r="Q65" s="88" t="e">
        <f t="shared" si="4"/>
        <v>#VALUE!</v>
      </c>
      <c r="R65" s="99" t="s">
        <v>417</v>
      </c>
      <c r="S65" s="101" t="e">
        <f t="shared" si="5"/>
        <v>#VALUE!</v>
      </c>
      <c r="U65" s="77"/>
      <c r="X65" s="4"/>
    </row>
    <row r="66" spans="1:24" ht="22.5" customHeight="1" thickBot="1" x14ac:dyDescent="0.3">
      <c r="A66" s="890"/>
      <c r="B66" s="240">
        <v>1200</v>
      </c>
      <c r="C66" s="241">
        <v>600</v>
      </c>
      <c r="D66" s="242">
        <v>200</v>
      </c>
      <c r="E66" s="257" t="s">
        <v>117</v>
      </c>
      <c r="F66" s="238" t="s">
        <v>46</v>
      </c>
      <c r="G66" s="613">
        <f>IFERROR(H66*'Лайт+АКУСТИК DDP'!O66," ")</f>
        <v>124.416</v>
      </c>
      <c r="H66" s="258">
        <f>ROUNDUP(5500/45/'Лайт+АКУСТИК DDP'!O66,0)</f>
        <v>18</v>
      </c>
      <c r="I66" s="262">
        <v>746.49599999999998</v>
      </c>
      <c r="J66" s="128">
        <v>3</v>
      </c>
      <c r="K66" s="167">
        <v>2.16</v>
      </c>
      <c r="L66" s="129">
        <v>0.432</v>
      </c>
      <c r="M66" s="130">
        <v>16</v>
      </c>
      <c r="N66" s="174">
        <v>6.9119999999999999</v>
      </c>
      <c r="O66" s="260">
        <v>76.031999999999996</v>
      </c>
      <c r="P66" s="129"/>
      <c r="Q66" s="89" t="e">
        <f t="shared" si="4"/>
        <v>#VALUE!</v>
      </c>
      <c r="R66" s="90" t="s">
        <v>417</v>
      </c>
      <c r="S66" s="102" t="e">
        <f t="shared" si="5"/>
        <v>#VALUE!</v>
      </c>
      <c r="U66" s="77"/>
      <c r="X66" s="4"/>
    </row>
    <row r="67" spans="1:24" ht="22.5" customHeight="1" thickBot="1" x14ac:dyDescent="0.3">
      <c r="A67" s="889" t="s">
        <v>446</v>
      </c>
      <c r="B67" s="252">
        <v>1200</v>
      </c>
      <c r="C67" s="250">
        <v>600</v>
      </c>
      <c r="D67" s="251">
        <v>50</v>
      </c>
      <c r="E67" s="891" t="s">
        <v>447</v>
      </c>
      <c r="F67" s="238" t="s">
        <v>239</v>
      </c>
      <c r="G67" s="1177" t="str">
        <f>IFERROR(H67*'Лайт+АКУСТИК DDP'!O67," ")</f>
        <v xml:space="preserve"> </v>
      </c>
      <c r="H67" s="259" t="s">
        <v>528</v>
      </c>
      <c r="I67" s="224"/>
      <c r="J67" s="131">
        <v>12</v>
      </c>
      <c r="K67" s="168">
        <v>8.64</v>
      </c>
      <c r="L67" s="132">
        <v>0.432</v>
      </c>
      <c r="M67" s="133">
        <v>16</v>
      </c>
      <c r="N67" s="172">
        <v>6.9119999999999999</v>
      </c>
      <c r="O67" s="220">
        <v>76.031999999999996</v>
      </c>
      <c r="P67" s="132">
        <v>103.68</v>
      </c>
      <c r="Q67" s="827">
        <f>L67*R67</f>
        <v>1194.48</v>
      </c>
      <c r="R67" s="1163">
        <v>2765</v>
      </c>
      <c r="S67" s="828">
        <f>R67*D67/1000</f>
        <v>138.25</v>
      </c>
      <c r="U67" s="77"/>
      <c r="X67" s="4"/>
    </row>
    <row r="68" spans="1:24" ht="22.5" customHeight="1" thickBot="1" x14ac:dyDescent="0.3">
      <c r="A68" s="701"/>
      <c r="B68" s="203">
        <v>1200</v>
      </c>
      <c r="C68" s="204">
        <v>600</v>
      </c>
      <c r="D68" s="209">
        <v>50</v>
      </c>
      <c r="E68" s="254" t="s">
        <v>611</v>
      </c>
      <c r="F68" s="238" t="s">
        <v>239</v>
      </c>
      <c r="G68" s="1176" t="str">
        <f>IFERROR(H68*'Лайт+АКУСТИК DDP'!O68," ")</f>
        <v xml:space="preserve"> </v>
      </c>
      <c r="H68" s="124" t="s">
        <v>528</v>
      </c>
      <c r="I68" s="170"/>
      <c r="J68" s="125">
        <v>6</v>
      </c>
      <c r="K68" s="166">
        <v>4.32</v>
      </c>
      <c r="L68" s="126">
        <v>0.216</v>
      </c>
      <c r="M68" s="127">
        <v>32</v>
      </c>
      <c r="N68" s="173">
        <v>6.9119999999999999</v>
      </c>
      <c r="O68" s="231">
        <v>76.031999999999996</v>
      </c>
      <c r="P68" s="126">
        <v>96.768000000000001</v>
      </c>
      <c r="Q68" s="827">
        <f>L68*R68</f>
        <v>597.24</v>
      </c>
      <c r="R68" s="224">
        <v>2765</v>
      </c>
      <c r="S68" s="828">
        <f>R68*D68/1000</f>
        <v>138.25</v>
      </c>
      <c r="U68" s="77"/>
      <c r="X68" s="4"/>
    </row>
    <row r="69" spans="1:24" ht="22.5" customHeight="1" thickBot="1" x14ac:dyDescent="0.3">
      <c r="A69" s="701"/>
      <c r="B69" s="203">
        <v>1200</v>
      </c>
      <c r="C69" s="204">
        <v>600</v>
      </c>
      <c r="D69" s="209">
        <v>50</v>
      </c>
      <c r="E69" s="254" t="s">
        <v>706</v>
      </c>
      <c r="F69" s="238" t="s">
        <v>239</v>
      </c>
      <c r="G69" s="1176" t="str">
        <f>IFERROR(H69*'Лайт+АКУСТИК DDP'!O69," ")</f>
        <v xml:space="preserve"> </v>
      </c>
      <c r="H69" s="124" t="s">
        <v>528</v>
      </c>
      <c r="I69" s="170"/>
      <c r="J69" s="125">
        <v>8</v>
      </c>
      <c r="K69" s="166">
        <f>B69*C69*J69/1000000</f>
        <v>5.76</v>
      </c>
      <c r="L69" s="126">
        <f>D69*K69/1000</f>
        <v>0.28799999999999998</v>
      </c>
      <c r="M69" s="127">
        <v>24</v>
      </c>
      <c r="N69" s="173">
        <f>L69*M69</f>
        <v>6.911999999999999</v>
      </c>
      <c r="O69" s="231">
        <f>N69*11</f>
        <v>76.031999999999982</v>
      </c>
      <c r="P69" s="126">
        <v>96.768000000000001</v>
      </c>
      <c r="Q69" s="827" t="e">
        <f>L69*R69</f>
        <v>#VALUE!</v>
      </c>
      <c r="R69" s="224" t="s">
        <v>528</v>
      </c>
      <c r="S69" s="828" t="e">
        <f>R69*D69/1000</f>
        <v>#VALUE!</v>
      </c>
      <c r="U69" s="77"/>
      <c r="X69" s="4"/>
    </row>
    <row r="70" spans="1:24" ht="22.5" customHeight="1" thickBot="1" x14ac:dyDescent="0.3">
      <c r="A70" s="893"/>
      <c r="B70" s="240">
        <v>1200</v>
      </c>
      <c r="C70" s="241">
        <v>600</v>
      </c>
      <c r="D70" s="242">
        <v>100</v>
      </c>
      <c r="E70" s="894" t="s">
        <v>448</v>
      </c>
      <c r="F70" s="295" t="s">
        <v>46</v>
      </c>
      <c r="G70" s="613">
        <f>IFERROR(H70*'Лайт+АКУСТИК DDP'!O70," ")</f>
        <v>138.24</v>
      </c>
      <c r="H70" s="258">
        <f>ROUNDUP(5500/40/'Лайт+АКУСТИК DDP'!O70,0)</f>
        <v>20</v>
      </c>
      <c r="I70" s="262"/>
      <c r="J70" s="128">
        <v>6</v>
      </c>
      <c r="K70" s="167">
        <v>8.64</v>
      </c>
      <c r="L70" s="129">
        <v>0.432</v>
      </c>
      <c r="M70" s="301">
        <v>16</v>
      </c>
      <c r="N70" s="895">
        <v>6.9119999999999999</v>
      </c>
      <c r="O70" s="260">
        <v>76.031999999999996</v>
      </c>
      <c r="P70" s="129">
        <v>96.768000000000001</v>
      </c>
      <c r="Q70" s="303">
        <f>L70*R70</f>
        <v>1194.48</v>
      </c>
      <c r="R70" s="1164">
        <v>2765</v>
      </c>
      <c r="S70" s="832">
        <f>R70*D70/1000</f>
        <v>276.5</v>
      </c>
      <c r="U70" s="77"/>
      <c r="X70" s="4"/>
    </row>
    <row r="71" spans="1:24" ht="20.100000000000001" customHeight="1" x14ac:dyDescent="0.25">
      <c r="A71" s="18"/>
      <c r="B71" s="134"/>
      <c r="C71" s="134"/>
      <c r="D71" s="134"/>
      <c r="E71" s="134"/>
      <c r="F71" s="134"/>
      <c r="G71" s="134"/>
      <c r="H71" s="134"/>
      <c r="I71" s="625"/>
      <c r="J71" s="135"/>
      <c r="K71" s="134"/>
      <c r="L71" s="136"/>
      <c r="M71" s="135"/>
      <c r="N71" s="137"/>
      <c r="O71" s="134"/>
      <c r="P71" s="261"/>
      <c r="Q71" s="448"/>
      <c r="R71" s="448"/>
      <c r="S71" s="448"/>
    </row>
    <row r="72" spans="1:24" ht="18.75" customHeight="1" x14ac:dyDescent="0.25">
      <c r="A72" s="1" t="s">
        <v>7</v>
      </c>
      <c r="B72" s="91"/>
      <c r="C72" s="91"/>
      <c r="D72" s="91"/>
      <c r="E72" s="91"/>
      <c r="F72" s="91"/>
      <c r="G72" s="91"/>
      <c r="H72" s="91"/>
      <c r="I72" s="91"/>
      <c r="J72" s="92"/>
      <c r="K72" s="91"/>
      <c r="L72" s="94"/>
      <c r="M72" s="92"/>
      <c r="N72" s="93"/>
      <c r="O72" s="1243" t="s">
        <v>21</v>
      </c>
      <c r="P72" s="1243"/>
      <c r="Q72" s="1243"/>
      <c r="R72" s="1243"/>
      <c r="S72" s="1243"/>
    </row>
    <row r="73" spans="1:24" s="32" customFormat="1" ht="20.100000000000001" customHeight="1" x14ac:dyDescent="0.25">
      <c r="A73" s="471" t="s">
        <v>342</v>
      </c>
      <c r="J73" s="33"/>
      <c r="L73" s="34"/>
      <c r="M73" s="33"/>
      <c r="N73" s="59"/>
      <c r="O73" s="1244" t="s">
        <v>40</v>
      </c>
      <c r="P73" s="1244"/>
      <c r="Q73" s="1244"/>
      <c r="R73" s="1244"/>
      <c r="S73" s="1244"/>
      <c r="W73" s="84"/>
    </row>
    <row r="74" spans="1:24" ht="20.100000000000001" customHeight="1" x14ac:dyDescent="0.25">
      <c r="A74" s="26" t="s">
        <v>23</v>
      </c>
      <c r="O74" s="1244" t="s">
        <v>39</v>
      </c>
      <c r="P74" s="1244"/>
      <c r="Q74" s="1244"/>
      <c r="R74" s="1244"/>
      <c r="S74" s="1244"/>
    </row>
    <row r="75" spans="1:24" ht="20.100000000000001" customHeight="1" x14ac:dyDescent="0.25">
      <c r="A75" s="26" t="s">
        <v>24</v>
      </c>
      <c r="O75" s="1245" t="s">
        <v>37</v>
      </c>
      <c r="P75" s="1245"/>
      <c r="Q75" s="1245"/>
      <c r="R75" s="1245"/>
      <c r="S75" s="1245"/>
    </row>
    <row r="76" spans="1:24" ht="20.100000000000001" customHeight="1" x14ac:dyDescent="0.25">
      <c r="A76" s="26" t="s">
        <v>52</v>
      </c>
      <c r="Q76" s="1245" t="s">
        <v>38</v>
      </c>
      <c r="R76" s="1245"/>
      <c r="S76" s="1245"/>
      <c r="T76" s="74"/>
    </row>
    <row r="77" spans="1:24" ht="20.100000000000001" customHeight="1" x14ac:dyDescent="0.25">
      <c r="A77" s="30" t="s">
        <v>54</v>
      </c>
      <c r="G77" s="4"/>
      <c r="I77" s="5"/>
      <c r="K77" s="56"/>
    </row>
    <row r="78" spans="1:24" ht="20.100000000000001" customHeight="1" x14ac:dyDescent="0.25">
      <c r="A78" s="30" t="s">
        <v>542</v>
      </c>
      <c r="G78" s="4"/>
      <c r="I78" s="5"/>
      <c r="K78" s="56"/>
    </row>
    <row r="79" spans="1:24" ht="20.100000000000001" customHeight="1" x14ac:dyDescent="0.25">
      <c r="A79" s="30" t="s">
        <v>612</v>
      </c>
      <c r="G79" s="4"/>
      <c r="I79" s="5"/>
      <c r="K79" s="56"/>
    </row>
    <row r="80" spans="1:24" ht="20.100000000000001" customHeight="1" x14ac:dyDescent="0.25">
      <c r="A80" s="30"/>
      <c r="G80" s="4"/>
      <c r="I80" s="5"/>
      <c r="K80" s="56"/>
    </row>
    <row r="81" spans="1:19" ht="20.100000000000001" customHeight="1" x14ac:dyDescent="0.25">
      <c r="A81" s="31"/>
    </row>
    <row r="82" spans="1:19" ht="20.100000000000001" customHeight="1" x14ac:dyDescent="0.25"/>
    <row r="83" spans="1:19" ht="19.5" customHeight="1" x14ac:dyDescent="0.25">
      <c r="A83" s="2"/>
    </row>
    <row r="84" spans="1:19" ht="20.100000000000001" customHeight="1" x14ac:dyDescent="0.25">
      <c r="A84" s="2"/>
    </row>
    <row r="85" spans="1:19" ht="20.100000000000001" customHeight="1" x14ac:dyDescent="0.25">
      <c r="A85" s="2"/>
      <c r="C85" s="19"/>
      <c r="D85" s="20"/>
      <c r="E85" s="20"/>
      <c r="F85" s="20"/>
      <c r="G85" s="20"/>
      <c r="H85" s="20"/>
      <c r="I85" s="20"/>
      <c r="J85" s="21"/>
      <c r="K85" s="20"/>
      <c r="L85" s="22"/>
      <c r="M85" s="69"/>
      <c r="N85" s="60"/>
      <c r="O85" s="20"/>
      <c r="P85" s="22"/>
      <c r="Q85" s="22"/>
      <c r="R85" s="22"/>
      <c r="S85" s="22"/>
    </row>
    <row r="86" spans="1:19" ht="20.100000000000001" customHeight="1" x14ac:dyDescent="0.25">
      <c r="C86" s="23"/>
      <c r="D86" s="20"/>
      <c r="E86" s="20"/>
      <c r="F86" s="20"/>
      <c r="G86" s="20"/>
      <c r="H86" s="20"/>
      <c r="I86" s="20"/>
      <c r="J86" s="21"/>
      <c r="K86" s="20"/>
      <c r="L86" s="24"/>
      <c r="M86" s="70"/>
      <c r="N86" s="60"/>
      <c r="O86" s="20"/>
      <c r="P86" s="24"/>
      <c r="Q86" s="24"/>
      <c r="R86" s="24"/>
      <c r="S86" s="24"/>
    </row>
    <row r="87" spans="1:19" ht="20.100000000000001" customHeight="1" x14ac:dyDescent="0.25">
      <c r="C87" s="23"/>
      <c r="D87" s="20"/>
      <c r="E87" s="20"/>
      <c r="F87" s="20"/>
      <c r="G87" s="20"/>
      <c r="H87" s="20"/>
      <c r="I87" s="20"/>
      <c r="J87" s="21"/>
      <c r="K87" s="20"/>
      <c r="L87" s="24"/>
      <c r="M87" s="70"/>
      <c r="N87" s="60"/>
      <c r="O87" s="20"/>
      <c r="P87" s="24"/>
      <c r="Q87" s="24"/>
      <c r="R87" s="24"/>
      <c r="S87" s="24"/>
    </row>
    <row r="89" spans="1:19" x14ac:dyDescent="0.25">
      <c r="B89" s="25"/>
    </row>
  </sheetData>
  <mergeCells count="21">
    <mergeCell ref="A33:A47"/>
    <mergeCell ref="A4:S4"/>
    <mergeCell ref="A6:A7"/>
    <mergeCell ref="B6:B7"/>
    <mergeCell ref="C6:C7"/>
    <mergeCell ref="D6:D7"/>
    <mergeCell ref="E6:E7"/>
    <mergeCell ref="F6:F7"/>
    <mergeCell ref="G6:G7"/>
    <mergeCell ref="I6:I7"/>
    <mergeCell ref="J6:L6"/>
    <mergeCell ref="M6:N6"/>
    <mergeCell ref="O6:P6"/>
    <mergeCell ref="Q6:S6"/>
    <mergeCell ref="A13:A15"/>
    <mergeCell ref="A16:A31"/>
    <mergeCell ref="O72:S72"/>
    <mergeCell ref="O73:S73"/>
    <mergeCell ref="O74:S74"/>
    <mergeCell ref="O75:S75"/>
    <mergeCell ref="Q76:S76"/>
  </mergeCells>
  <hyperlinks>
    <hyperlink ref="O75" r:id="rId1"/>
    <hyperlink ref="Q76" r:id="rId2"/>
  </hyperlinks>
  <printOptions horizontalCentered="1"/>
  <pageMargins left="0.19685039370078741" right="0.19685039370078741" top="0.39370078740157483" bottom="0" header="0" footer="0"/>
  <pageSetup paperSize="9" scale="43" orientation="portrait" verticalDpi="1" r:id="rId3"/>
  <headerFooter alignWithMargins="0"/>
  <drawing r:id="rId4"/>
  <legacy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dimension ref="A1:E2"/>
  <sheetViews>
    <sheetView topLeftCell="B1" workbookViewId="0">
      <selection activeCell="P40" sqref="P39:P40"/>
    </sheetView>
  </sheetViews>
  <sheetFormatPr defaultRowHeight="12.75" x14ac:dyDescent="0.2"/>
  <cols>
    <col min="1" max="1" width="14.28515625" customWidth="1"/>
    <col min="2" max="2" width="17.42578125" customWidth="1"/>
    <col min="3" max="3" width="16.7109375" customWidth="1"/>
    <col min="4" max="4" width="15.85546875" customWidth="1"/>
    <col min="5" max="5" width="16.140625" customWidth="1"/>
  </cols>
  <sheetData>
    <row r="1" spans="1:5" ht="51.75" thickBot="1" x14ac:dyDescent="0.25">
      <c r="A1" s="527" t="s">
        <v>378</v>
      </c>
      <c r="B1" s="527" t="s">
        <v>379</v>
      </c>
      <c r="C1" s="527" t="s">
        <v>380</v>
      </c>
      <c r="D1" s="527" t="s">
        <v>381</v>
      </c>
      <c r="E1" s="527" t="s">
        <v>382</v>
      </c>
    </row>
    <row r="2" spans="1:5" ht="13.5" customHeight="1" x14ac:dyDescent="0.2">
      <c r="A2" s="526"/>
    </row>
  </sheetData>
  <phoneticPr fontId="65" type="noConversion"/>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27"/>
  <sheetViews>
    <sheetView view="pageBreakPreview" topLeftCell="E1" zoomScale="80" zoomScaleNormal="70" zoomScaleSheetLayoutView="80" workbookViewId="0">
      <selection activeCell="Q8" sqref="Q8"/>
    </sheetView>
  </sheetViews>
  <sheetFormatPr defaultRowHeight="18" x14ac:dyDescent="0.25"/>
  <cols>
    <col min="1" max="1" width="38.7109375" style="3" customWidth="1"/>
    <col min="2" max="2" width="14" style="3" customWidth="1"/>
    <col min="3" max="5" width="9.7109375" style="2" customWidth="1"/>
    <col min="6" max="6" width="6.140625" style="71" customWidth="1"/>
    <col min="7" max="7" width="11.5703125" style="4" customWidth="1"/>
    <col min="8" max="8" width="11.5703125" style="2" customWidth="1"/>
    <col min="9" max="9" width="11.5703125" style="5" customWidth="1"/>
    <col min="10" max="10" width="11.5703125" style="2" customWidth="1"/>
    <col min="11" max="11" width="13.42578125" style="5" customWidth="1"/>
    <col min="12" max="14" width="15.140625" style="2" customWidth="1"/>
    <col min="15" max="15" width="29.7109375" style="745" customWidth="1"/>
    <col min="16" max="16" width="11.42578125" style="953" customWidth="1"/>
    <col min="17" max="17" width="42.5703125" style="745" customWidth="1"/>
    <col min="18" max="18" width="9.140625" style="79"/>
    <col min="19" max="19" width="8.85546875" customWidth="1"/>
    <col min="20" max="16384" width="9.140625" style="2"/>
  </cols>
  <sheetData>
    <row r="1" spans="1:19" ht="26.25" x14ac:dyDescent="0.4">
      <c r="A1" s="75" t="s">
        <v>19</v>
      </c>
      <c r="B1" s="75"/>
      <c r="Q1" s="953" t="s">
        <v>413</v>
      </c>
    </row>
    <row r="2" spans="1:19" s="27" customFormat="1" ht="26.25" x14ac:dyDescent="0.4">
      <c r="A2" s="75" t="s">
        <v>20</v>
      </c>
      <c r="B2" s="75"/>
      <c r="F2" s="72"/>
      <c r="G2" s="28"/>
      <c r="I2" s="29"/>
      <c r="K2" s="29"/>
      <c r="O2" s="1014"/>
      <c r="P2" s="1014" t="s">
        <v>415</v>
      </c>
      <c r="Q2" s="1093">
        <f>'ЛАЙТ Рязань'!V2</f>
        <v>4</v>
      </c>
      <c r="R2" s="2"/>
    </row>
    <row r="3" spans="1:19" s="27" customFormat="1" ht="60" customHeight="1" x14ac:dyDescent="0.35">
      <c r="A3" s="2" t="s">
        <v>533</v>
      </c>
      <c r="B3" s="2"/>
      <c r="G3" s="28"/>
      <c r="I3" s="29"/>
      <c r="K3" s="29"/>
      <c r="O3" s="1014"/>
      <c r="P3" s="1014" t="s">
        <v>416</v>
      </c>
      <c r="Q3" s="1094">
        <f>'ЛАЙТ Рязань'!V3</f>
        <v>4</v>
      </c>
      <c r="R3" s="2"/>
    </row>
    <row r="4" spans="1:19" x14ac:dyDescent="0.25">
      <c r="A4" s="1351" t="s">
        <v>534</v>
      </c>
      <c r="B4" s="1351"/>
      <c r="C4" s="1351"/>
      <c r="D4" s="1351"/>
      <c r="E4" s="1351"/>
      <c r="F4" s="1351"/>
      <c r="G4" s="1351"/>
      <c r="H4" s="1351"/>
      <c r="I4" s="1351"/>
      <c r="J4" s="1351"/>
      <c r="K4" s="1351"/>
      <c r="L4" s="1351"/>
      <c r="M4" s="1351"/>
      <c r="N4" s="1351"/>
      <c r="O4" s="1018">
        <f>INDEX('Доставка по областям'!$B$2:$B$90,'ЛАЙТ Рязань'!Q5,1)</f>
        <v>158</v>
      </c>
      <c r="P4" s="1096"/>
    </row>
    <row r="5" spans="1:19" ht="18.75" thickBot="1" x14ac:dyDescent="0.3">
      <c r="A5" s="6" t="s">
        <v>535</v>
      </c>
      <c r="B5" s="6"/>
      <c r="C5" s="7"/>
      <c r="D5" s="7"/>
      <c r="E5" s="7"/>
      <c r="F5" s="7"/>
      <c r="G5" s="7"/>
      <c r="H5" s="7"/>
      <c r="I5" s="7"/>
      <c r="J5" s="7"/>
      <c r="K5" s="7"/>
      <c r="L5" s="7"/>
      <c r="M5" s="7"/>
      <c r="N5" s="7"/>
      <c r="O5" s="1018">
        <f>INDEX('Доставка по областям'!$B$131:$B$199,'ЛАЙТ Рязань'!Q5,1)</f>
        <v>170</v>
      </c>
      <c r="P5" s="1098" t="s">
        <v>412</v>
      </c>
      <c r="Q5" s="1099">
        <f>IF($Q$2&lt;4,INDEX('Доставка по областям'!$J$54:$J$57,Q2)+INDEX('Доставка по областям'!$J$58:$J$61,$Q$3),0)</f>
        <v>0</v>
      </c>
    </row>
    <row r="6" spans="1:19" ht="57" customHeight="1" x14ac:dyDescent="0.25">
      <c r="A6" s="1250" t="s">
        <v>0</v>
      </c>
      <c r="B6" s="1352" t="s">
        <v>281</v>
      </c>
      <c r="C6" s="1252" t="s">
        <v>1</v>
      </c>
      <c r="D6" s="1254" t="s">
        <v>2</v>
      </c>
      <c r="E6" s="1256" t="s">
        <v>3</v>
      </c>
      <c r="F6" s="1260" t="s">
        <v>36</v>
      </c>
      <c r="G6" s="1301" t="s">
        <v>536</v>
      </c>
      <c r="H6" s="1302"/>
      <c r="I6" s="1303"/>
      <c r="J6" s="1354" t="s">
        <v>537</v>
      </c>
      <c r="K6" s="1355"/>
      <c r="L6" s="1308" t="s">
        <v>340</v>
      </c>
      <c r="M6" s="1302"/>
      <c r="N6" s="1309"/>
      <c r="O6" s="1100" t="str">
        <f>INDEX('Доставка по областям'!$G$2:$G$90,'Рулонная изоляция DDP'!$Q$5)</f>
        <v>Завод 'ТЕХНО' г.Рязань</v>
      </c>
      <c r="Q6" s="745" t="s">
        <v>414</v>
      </c>
    </row>
    <row r="7" spans="1:19" ht="67.5" customHeight="1" thickBot="1" x14ac:dyDescent="0.3">
      <c r="A7" s="1251"/>
      <c r="B7" s="1353"/>
      <c r="C7" s="1253"/>
      <c r="D7" s="1255"/>
      <c r="E7" s="1257"/>
      <c r="F7" s="1263"/>
      <c r="G7" s="68" t="s">
        <v>5</v>
      </c>
      <c r="H7" s="797" t="s">
        <v>17</v>
      </c>
      <c r="I7" s="798" t="s">
        <v>18</v>
      </c>
      <c r="J7" s="799" t="s">
        <v>538</v>
      </c>
      <c r="K7" s="44" t="s">
        <v>539</v>
      </c>
      <c r="L7" s="42" t="s">
        <v>6</v>
      </c>
      <c r="M7" s="54" t="s">
        <v>18</v>
      </c>
      <c r="N7" s="41" t="s">
        <v>22</v>
      </c>
      <c r="Q7" s="1101" t="str">
        <f>INDEX('Доставка по областям'!$J$2:$J$53,VLOOKUP('Рулонная изоляция DDP'!A3,'Доставка по областям'!$A$2:$F$90,6,0))</f>
        <v>Рязанская</v>
      </c>
      <c r="R7" s="2"/>
    </row>
    <row r="8" spans="1:19" ht="24.95" customHeight="1" x14ac:dyDescent="0.25">
      <c r="A8" s="1356" t="s">
        <v>540</v>
      </c>
      <c r="B8" s="800">
        <v>437906</v>
      </c>
      <c r="C8" s="801">
        <v>5000</v>
      </c>
      <c r="D8" s="10">
        <v>1200</v>
      </c>
      <c r="E8" s="11">
        <v>50</v>
      </c>
      <c r="F8" s="278" t="s">
        <v>46</v>
      </c>
      <c r="G8" s="45">
        <v>2</v>
      </c>
      <c r="H8" s="573">
        <v>12</v>
      </c>
      <c r="I8" s="46">
        <v>0.6</v>
      </c>
      <c r="J8" s="575">
        <v>165</v>
      </c>
      <c r="K8" s="802">
        <v>275</v>
      </c>
      <c r="L8" s="803">
        <f>I8*M8</f>
        <v>540</v>
      </c>
      <c r="M8" s="36">
        <v>900</v>
      </c>
      <c r="N8" s="804">
        <f>M8*E8/1000</f>
        <v>45</v>
      </c>
      <c r="O8" s="745" t="s">
        <v>518</v>
      </c>
      <c r="Q8" s="953">
        <f>IF($Q$2&lt;4,SUMIFS(РегСкидка!$C$3:$C$619,РегСкидка!$B$3:$B$619,O8,РегСкидка!$E$3:$E$619,$Q$7)/100*IF(OR($Q$3=1,$Q$3=2,$Q$3=3,$Q$3=4),1,0),0)</f>
        <v>0</v>
      </c>
      <c r="R8" s="2"/>
      <c r="S8" s="2"/>
    </row>
    <row r="9" spans="1:19" ht="24.95" customHeight="1" thickBot="1" x14ac:dyDescent="0.3">
      <c r="A9" s="1357"/>
      <c r="B9" s="805">
        <v>437907</v>
      </c>
      <c r="C9" s="806">
        <v>5000</v>
      </c>
      <c r="D9" s="16">
        <v>1200</v>
      </c>
      <c r="E9" s="17">
        <v>100</v>
      </c>
      <c r="F9" s="289" t="s">
        <v>46</v>
      </c>
      <c r="G9" s="49">
        <v>1</v>
      </c>
      <c r="H9" s="807">
        <v>6</v>
      </c>
      <c r="I9" s="50">
        <v>0.6</v>
      </c>
      <c r="J9" s="808">
        <v>165</v>
      </c>
      <c r="K9" s="809">
        <v>275</v>
      </c>
      <c r="L9" s="53">
        <f>I9*M9</f>
        <v>540</v>
      </c>
      <c r="M9" s="39">
        <f>M8</f>
        <v>900</v>
      </c>
      <c r="N9" s="810">
        <f>M9*E9/1000</f>
        <v>90</v>
      </c>
      <c r="O9" s="745" t="s">
        <v>518</v>
      </c>
      <c r="Q9" s="953">
        <f>IF($Q$2&lt;4,SUMIFS(РегСкидка!$C$3:$C$619,РегСкидка!$B$3:$B$619,O9,РегСкидка!$E$3:$E$619,$Q$7)/100*IF(OR($Q$3=1,$Q$3=2,$Q$3=3,$Q$3=4),1,0),0)</f>
        <v>0</v>
      </c>
      <c r="R9" s="2"/>
      <c r="S9" s="2"/>
    </row>
    <row r="10" spans="1:19" ht="20.100000000000001" customHeight="1" x14ac:dyDescent="0.25">
      <c r="A10" s="18"/>
      <c r="B10" s="18"/>
    </row>
    <row r="11" spans="1:19" ht="18.75" customHeight="1" x14ac:dyDescent="0.25">
      <c r="A11" s="1" t="s">
        <v>7</v>
      </c>
      <c r="B11" s="1"/>
      <c r="F11" s="2"/>
      <c r="J11" s="1275" t="s">
        <v>21</v>
      </c>
      <c r="K11" s="1275"/>
      <c r="L11" s="1275"/>
      <c r="M11" s="1275"/>
      <c r="N11" s="1275"/>
      <c r="O11" s="1025"/>
      <c r="R11" s="2"/>
      <c r="S11" s="2"/>
    </row>
    <row r="12" spans="1:19" s="32" customFormat="1" ht="20.100000000000001" customHeight="1" x14ac:dyDescent="0.25">
      <c r="A12" s="471" t="s">
        <v>342</v>
      </c>
      <c r="B12" s="26"/>
      <c r="G12" s="33"/>
      <c r="I12" s="34"/>
      <c r="J12" s="1244" t="s">
        <v>40</v>
      </c>
      <c r="K12" s="1244"/>
      <c r="L12" s="1244"/>
      <c r="M12" s="1244"/>
      <c r="N12" s="1244"/>
      <c r="O12" s="1048"/>
      <c r="P12" s="953"/>
      <c r="Q12" s="745"/>
    </row>
    <row r="13" spans="1:19" ht="20.100000000000001" customHeight="1" x14ac:dyDescent="0.25">
      <c r="A13" s="26" t="s">
        <v>438</v>
      </c>
      <c r="B13" s="26"/>
      <c r="F13" s="2"/>
      <c r="J13" s="1244" t="s">
        <v>39</v>
      </c>
      <c r="K13" s="1244"/>
      <c r="L13" s="1244"/>
      <c r="M13" s="1244"/>
      <c r="N13" s="1244"/>
      <c r="O13" s="1049"/>
      <c r="R13" s="2"/>
      <c r="S13" s="2"/>
    </row>
    <row r="14" spans="1:19" ht="20.100000000000001" customHeight="1" x14ac:dyDescent="0.25">
      <c r="A14" s="26" t="s">
        <v>24</v>
      </c>
      <c r="B14" s="26"/>
      <c r="F14" s="2"/>
      <c r="J14" s="1245" t="s">
        <v>37</v>
      </c>
      <c r="K14" s="1245"/>
      <c r="L14" s="1245"/>
      <c r="M14" s="1245"/>
      <c r="N14" s="1245"/>
      <c r="O14" s="1049"/>
      <c r="R14" s="2"/>
      <c r="S14" s="2"/>
    </row>
    <row r="15" spans="1:19" ht="20.100000000000001" customHeight="1" x14ac:dyDescent="0.25">
      <c r="A15" s="26" t="s">
        <v>52</v>
      </c>
      <c r="B15" s="26"/>
      <c r="F15" s="2"/>
      <c r="L15" s="1245" t="s">
        <v>38</v>
      </c>
      <c r="M15" s="1245"/>
      <c r="N15" s="1245"/>
      <c r="O15" s="1029"/>
      <c r="R15" s="2"/>
      <c r="S15" s="2"/>
    </row>
    <row r="16" spans="1:19" ht="20.100000000000001" customHeight="1" x14ac:dyDescent="0.25">
      <c r="A16" s="811" t="s">
        <v>541</v>
      </c>
      <c r="B16" s="811"/>
      <c r="C16" s="134"/>
      <c r="D16" s="134"/>
      <c r="E16" s="134"/>
      <c r="F16" s="134"/>
      <c r="G16" s="135"/>
      <c r="H16" s="134"/>
      <c r="I16" s="261"/>
      <c r="J16" s="134"/>
      <c r="O16" s="1029"/>
      <c r="R16" s="2"/>
      <c r="S16" s="2"/>
    </row>
    <row r="17" spans="1:19" ht="20.100000000000001" customHeight="1" x14ac:dyDescent="0.25">
      <c r="A17" s="811" t="s">
        <v>542</v>
      </c>
      <c r="B17" s="811"/>
      <c r="C17" s="134"/>
      <c r="D17" s="134"/>
      <c r="E17" s="134"/>
      <c r="F17" s="134"/>
      <c r="G17" s="135"/>
      <c r="H17" s="134"/>
      <c r="I17" s="261"/>
      <c r="J17" s="134"/>
      <c r="R17" s="2"/>
      <c r="S17" s="2"/>
    </row>
    <row r="18" spans="1:19" ht="20.100000000000001" customHeight="1" x14ac:dyDescent="0.25">
      <c r="A18" s="811" t="s">
        <v>543</v>
      </c>
      <c r="B18" s="811"/>
      <c r="C18" s="134"/>
      <c r="D18" s="134"/>
      <c r="E18" s="134"/>
      <c r="F18" s="134"/>
      <c r="G18" s="135"/>
      <c r="H18" s="134"/>
      <c r="I18" s="261"/>
      <c r="J18" s="134"/>
      <c r="R18" s="2"/>
      <c r="S18" s="2"/>
    </row>
    <row r="19" spans="1:19" ht="20.100000000000001" customHeight="1" x14ac:dyDescent="0.25">
      <c r="A19" s="31"/>
      <c r="B19" s="31"/>
      <c r="F19" s="2"/>
      <c r="R19" s="2"/>
      <c r="S19" s="2"/>
    </row>
    <row r="20" spans="1:19" ht="20.100000000000001" customHeight="1" x14ac:dyDescent="0.25">
      <c r="F20" s="2"/>
      <c r="R20" s="2"/>
      <c r="S20" s="2"/>
    </row>
    <row r="21" spans="1:19" ht="20.100000000000001" customHeight="1" x14ac:dyDescent="0.25">
      <c r="A21" s="2"/>
      <c r="B21" s="2"/>
      <c r="F21" s="2"/>
      <c r="R21" s="2"/>
      <c r="S21" s="2"/>
    </row>
    <row r="22" spans="1:19" ht="20.100000000000001" customHeight="1" x14ac:dyDescent="0.25">
      <c r="A22" s="2"/>
      <c r="B22" s="2"/>
      <c r="F22" s="2"/>
      <c r="R22" s="2"/>
      <c r="S22" s="2"/>
    </row>
    <row r="23" spans="1:19" ht="19.5" customHeight="1" x14ac:dyDescent="0.25">
      <c r="A23" s="2"/>
      <c r="B23" s="2"/>
      <c r="D23" s="19"/>
      <c r="E23" s="20"/>
      <c r="F23" s="20"/>
      <c r="G23" s="21"/>
      <c r="H23" s="20"/>
      <c r="I23" s="22"/>
      <c r="J23" s="20"/>
      <c r="K23" s="22"/>
      <c r="L23" s="22"/>
      <c r="M23" s="22"/>
      <c r="N23" s="22"/>
      <c r="R23" s="2"/>
      <c r="S23" s="2"/>
    </row>
    <row r="24" spans="1:19" ht="20.100000000000001" customHeight="1" x14ac:dyDescent="0.25">
      <c r="D24" s="23"/>
      <c r="E24" s="20"/>
      <c r="F24" s="20"/>
      <c r="G24" s="21"/>
      <c r="H24" s="20"/>
      <c r="I24" s="24"/>
      <c r="J24" s="20"/>
      <c r="K24" s="24"/>
      <c r="L24" s="24"/>
      <c r="M24" s="24"/>
      <c r="N24" s="24"/>
      <c r="R24" s="2"/>
      <c r="S24" s="2"/>
    </row>
    <row r="25" spans="1:19" ht="20.100000000000001" customHeight="1" x14ac:dyDescent="0.25">
      <c r="D25" s="23"/>
      <c r="E25" s="20"/>
      <c r="F25" s="20"/>
      <c r="G25" s="21"/>
      <c r="H25" s="20"/>
      <c r="I25" s="24"/>
      <c r="J25" s="20"/>
      <c r="K25" s="24"/>
      <c r="L25" s="24"/>
      <c r="M25" s="24"/>
      <c r="N25" s="24"/>
      <c r="R25" s="2"/>
      <c r="S25" s="2"/>
    </row>
    <row r="26" spans="1:19" ht="20.100000000000001" customHeight="1" x14ac:dyDescent="0.25">
      <c r="R26" s="2"/>
      <c r="S26" s="2"/>
    </row>
    <row r="27" spans="1:19" ht="20.100000000000001" customHeight="1" x14ac:dyDescent="0.25">
      <c r="C27" s="25"/>
      <c r="R27" s="2"/>
      <c r="S27" s="2"/>
    </row>
  </sheetData>
  <mergeCells count="16">
    <mergeCell ref="L15:N15"/>
    <mergeCell ref="A8:A9"/>
    <mergeCell ref="J11:N11"/>
    <mergeCell ref="J12:N12"/>
    <mergeCell ref="J13:N13"/>
    <mergeCell ref="J14:N14"/>
    <mergeCell ref="A4:N4"/>
    <mergeCell ref="A6:A7"/>
    <mergeCell ref="B6:B7"/>
    <mergeCell ref="C6:C7"/>
    <mergeCell ref="D6:D7"/>
    <mergeCell ref="E6:E7"/>
    <mergeCell ref="F6:F7"/>
    <mergeCell ref="G6:I6"/>
    <mergeCell ref="J6:K6"/>
    <mergeCell ref="L6:N6"/>
  </mergeCells>
  <hyperlinks>
    <hyperlink ref="J14" r:id="rId1"/>
    <hyperlink ref="L15" r:id="rId2"/>
  </hyperlinks>
  <pageMargins left="0.7" right="0.7" top="0.75" bottom="0.75" header="0.3" footer="0.3"/>
  <pageSetup paperSize="9" scale="46" orientation="portrait" r:id="rId3"/>
  <drawing r:id="rId4"/>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B73"/>
  <sheetViews>
    <sheetView showGridLines="0" view="pageBreakPreview" zoomScale="70" zoomScaleNormal="100" zoomScaleSheetLayoutView="70" workbookViewId="0">
      <pane xSplit="1" ySplit="7" topLeftCell="Q8" activePane="bottomRight" state="frozen"/>
      <selection pane="topRight"/>
      <selection pane="bottomLeft"/>
      <selection pane="bottomRight" activeCell="X9" sqref="X9"/>
    </sheetView>
  </sheetViews>
  <sheetFormatPr defaultColWidth="11.42578125" defaultRowHeight="18" x14ac:dyDescent="0.25"/>
  <cols>
    <col min="1" max="1" width="38.7109375" style="3" customWidth="1"/>
    <col min="2" max="2" width="9.7109375" style="2" customWidth="1"/>
    <col min="3" max="3" width="8.42578125" style="2" customWidth="1"/>
    <col min="4" max="4" width="9.7109375" style="2" customWidth="1"/>
    <col min="5" max="5" width="16.7109375" style="2" customWidth="1"/>
    <col min="6" max="6" width="6.140625" style="2" customWidth="1"/>
    <col min="7" max="8" width="10.85546875" style="2" hidden="1" customWidth="1"/>
    <col min="9" max="9" width="11.28515625" style="2" customWidth="1"/>
    <col min="10" max="10" width="13.28515625" style="2" hidden="1" customWidth="1"/>
    <col min="11" max="11" width="11.5703125" style="4" customWidth="1"/>
    <col min="12" max="12" width="11.5703125" style="2" customWidth="1"/>
    <col min="13" max="13" width="15" style="5" customWidth="1"/>
    <col min="14" max="14" width="11.85546875" style="4" customWidth="1"/>
    <col min="15" max="15" width="14.85546875" style="56" customWidth="1"/>
    <col min="16" max="16" width="15.140625" style="2" customWidth="1"/>
    <col min="17" max="17" width="12.5703125" style="5" customWidth="1"/>
    <col min="18" max="18" width="15.140625" style="2" customWidth="1"/>
    <col min="19" max="19" width="17.5703125" style="2" customWidth="1"/>
    <col min="20" max="20" width="14" style="2" customWidth="1"/>
    <col min="21" max="21" width="29.7109375" style="745" customWidth="1"/>
    <col min="22" max="22" width="11.42578125" style="953" customWidth="1"/>
    <col min="23" max="23" width="23.5703125" style="745" customWidth="1"/>
    <col min="24" max="24" width="29.7109375" style="974" customWidth="1"/>
    <col min="25" max="25" width="16.85546875" style="975" customWidth="1"/>
    <col min="26" max="26" width="16.7109375" style="974" customWidth="1"/>
    <col min="27" max="27" width="12.7109375" style="82" customWidth="1"/>
    <col min="28" max="30" width="11.42578125" style="2" customWidth="1"/>
    <col min="31" max="16384" width="11.42578125" style="2"/>
  </cols>
  <sheetData>
    <row r="1" spans="1:28" ht="26.25" x14ac:dyDescent="0.4">
      <c r="A1" s="903" t="s">
        <v>19</v>
      </c>
      <c r="B1" s="904"/>
      <c r="C1" s="904"/>
      <c r="D1" s="904"/>
      <c r="E1" s="904"/>
      <c r="F1" s="904"/>
      <c r="G1" s="904"/>
      <c r="H1" s="904"/>
      <c r="I1" s="904"/>
      <c r="J1" s="904"/>
      <c r="K1" s="905"/>
      <c r="L1" s="904"/>
      <c r="M1" s="906"/>
      <c r="N1" s="905"/>
      <c r="O1" s="907"/>
      <c r="P1" s="908"/>
      <c r="Q1" s="909"/>
      <c r="R1" s="908"/>
      <c r="S1" s="908"/>
      <c r="T1" s="904"/>
      <c r="W1" s="953" t="s">
        <v>413</v>
      </c>
      <c r="Z1" s="975"/>
    </row>
    <row r="2" spans="1:28" s="27" customFormat="1" ht="26.25" x14ac:dyDescent="0.4">
      <c r="A2" s="903" t="s">
        <v>20</v>
      </c>
      <c r="B2" s="910"/>
      <c r="C2" s="910"/>
      <c r="D2" s="910"/>
      <c r="E2" s="910"/>
      <c r="F2" s="910"/>
      <c r="G2" s="910"/>
      <c r="H2" s="910"/>
      <c r="I2" s="910"/>
      <c r="J2" s="910"/>
      <c r="K2" s="911"/>
      <c r="L2" s="910"/>
      <c r="M2" s="912"/>
      <c r="N2" s="911"/>
      <c r="O2" s="913"/>
      <c r="P2" s="914"/>
      <c r="Q2" s="915"/>
      <c r="R2" s="914"/>
      <c r="S2" s="914"/>
      <c r="T2" s="910"/>
      <c r="U2" s="1014"/>
      <c r="V2" s="1014" t="s">
        <v>415</v>
      </c>
      <c r="W2" s="1093">
        <f>'ЛАЙТ Рязань'!V2</f>
        <v>4</v>
      </c>
      <c r="X2" s="976"/>
      <c r="Y2" s="976"/>
      <c r="Z2" s="977"/>
      <c r="AA2" s="860"/>
    </row>
    <row r="3" spans="1:28" s="27" customFormat="1" ht="69" customHeight="1" x14ac:dyDescent="0.35">
      <c r="A3" s="916"/>
      <c r="B3" s="1358"/>
      <c r="C3" s="1358"/>
      <c r="D3" s="1358"/>
      <c r="E3" s="1358"/>
      <c r="F3" s="1358"/>
      <c r="G3" s="1358"/>
      <c r="H3" s="1358"/>
      <c r="I3" s="1358"/>
      <c r="J3" s="1358"/>
      <c r="K3" s="1358"/>
      <c r="L3" s="1358"/>
      <c r="M3" s="1358"/>
      <c r="N3" s="1358"/>
      <c r="O3" s="913"/>
      <c r="P3" s="914"/>
      <c r="Q3" s="915"/>
      <c r="R3" s="914"/>
      <c r="S3" s="914"/>
      <c r="T3" s="910"/>
      <c r="U3" s="1014"/>
      <c r="V3" s="1014" t="s">
        <v>416</v>
      </c>
      <c r="W3" s="1094">
        <f>'ЛАЙТ Рязань'!V3</f>
        <v>4</v>
      </c>
      <c r="X3" s="976"/>
      <c r="Y3" s="976"/>
      <c r="Z3" s="978"/>
      <c r="AA3" s="83"/>
    </row>
    <row r="4" spans="1:28" ht="18" customHeight="1" thickBot="1" x14ac:dyDescent="0.3">
      <c r="A4" s="917" t="s">
        <v>617</v>
      </c>
      <c r="B4" s="917"/>
      <c r="C4" s="917"/>
      <c r="D4" s="917"/>
      <c r="E4" s="917"/>
      <c r="F4" s="917"/>
      <c r="G4" s="917"/>
      <c r="H4" s="917"/>
      <c r="I4" s="917"/>
      <c r="J4" s="917"/>
      <c r="K4" s="917"/>
      <c r="L4" s="917"/>
      <c r="M4" s="917"/>
      <c r="N4" s="917"/>
      <c r="O4" s="917"/>
      <c r="P4" s="917"/>
      <c r="Q4" s="917"/>
      <c r="R4" s="917"/>
      <c r="S4" s="917"/>
      <c r="T4" s="917"/>
      <c r="U4" s="1095"/>
      <c r="V4" s="1096"/>
      <c r="X4" s="979"/>
      <c r="Y4" s="980"/>
    </row>
    <row r="5" spans="1:28" s="3" customFormat="1" ht="18.75" thickBot="1" x14ac:dyDescent="0.3">
      <c r="A5" s="537"/>
      <c r="B5" s="537"/>
      <c r="C5" s="537"/>
      <c r="D5" s="537"/>
      <c r="E5" s="790"/>
      <c r="F5" s="537"/>
      <c r="G5" s="537"/>
      <c r="H5" s="537"/>
      <c r="I5" s="537"/>
      <c r="J5" s="537"/>
      <c r="K5" s="537"/>
      <c r="L5" s="537"/>
      <c r="M5" s="537"/>
      <c r="N5" s="550"/>
      <c r="O5" s="550"/>
      <c r="P5" s="602"/>
      <c r="Q5" s="537"/>
      <c r="R5" s="992">
        <f>'ЛАЙТ Рязань'!Q5</f>
        <v>67</v>
      </c>
      <c r="S5" s="993">
        <f>INDEX('Доставка по областям'!$E$2:$E$90,'АКСИ ExW'!$R$5,1)</f>
        <v>61</v>
      </c>
      <c r="T5" s="552"/>
      <c r="U5" s="1097"/>
      <c r="V5" s="1098" t="s">
        <v>412</v>
      </c>
      <c r="W5" s="1099">
        <f>IF($W$2&lt;4,INDEX('Доставка по областям'!$J$54:$J$57,W2)+INDEX('Доставка по областям'!$J$58:$J$61,$W$3),0)</f>
        <v>0</v>
      </c>
      <c r="X5" s="981"/>
      <c r="Y5" s="982"/>
      <c r="Z5" s="983"/>
      <c r="AA5" s="553"/>
    </row>
    <row r="6" spans="1:28" ht="72.75" customHeight="1" thickBot="1" x14ac:dyDescent="0.3">
      <c r="A6" s="1250" t="s">
        <v>0</v>
      </c>
      <c r="B6" s="1252" t="s">
        <v>1</v>
      </c>
      <c r="C6" s="1254" t="s">
        <v>2</v>
      </c>
      <c r="D6" s="1256" t="s">
        <v>3</v>
      </c>
      <c r="E6" s="1258" t="s">
        <v>88</v>
      </c>
      <c r="F6" s="1260" t="s">
        <v>36</v>
      </c>
      <c r="G6" s="1260" t="s">
        <v>57</v>
      </c>
      <c r="H6" s="114"/>
      <c r="I6" s="1260" t="s">
        <v>582</v>
      </c>
      <c r="J6" s="1260" t="s">
        <v>56</v>
      </c>
      <c r="K6" s="1264" t="s">
        <v>49</v>
      </c>
      <c r="L6" s="1265"/>
      <c r="M6" s="1266"/>
      <c r="N6" s="1267" t="s">
        <v>48</v>
      </c>
      <c r="O6" s="1268"/>
      <c r="P6" s="1269" t="s">
        <v>44</v>
      </c>
      <c r="Q6" s="1270"/>
      <c r="R6" s="1264" t="s">
        <v>421</v>
      </c>
      <c r="S6" s="1265"/>
      <c r="T6" s="1266"/>
      <c r="W6" s="745" t="s">
        <v>414</v>
      </c>
    </row>
    <row r="7" spans="1:28" ht="54.75" customHeight="1" thickBot="1" x14ac:dyDescent="0.3">
      <c r="A7" s="1251"/>
      <c r="B7" s="1253"/>
      <c r="C7" s="1255"/>
      <c r="D7" s="1257"/>
      <c r="E7" s="1259"/>
      <c r="F7" s="1261"/>
      <c r="G7" s="1262"/>
      <c r="H7" s="918"/>
      <c r="I7" s="1263"/>
      <c r="J7" s="1263"/>
      <c r="K7" s="43" t="s">
        <v>5</v>
      </c>
      <c r="L7" s="54" t="s">
        <v>17</v>
      </c>
      <c r="M7" s="64" t="s">
        <v>18</v>
      </c>
      <c r="N7" s="461" t="s">
        <v>47</v>
      </c>
      <c r="O7" s="462" t="s">
        <v>18</v>
      </c>
      <c r="P7" s="449" t="s">
        <v>43</v>
      </c>
      <c r="Q7" s="447" t="s">
        <v>42</v>
      </c>
      <c r="R7" s="922" t="s">
        <v>6</v>
      </c>
      <c r="S7" s="923" t="s">
        <v>18</v>
      </c>
      <c r="T7" s="470" t="s">
        <v>22</v>
      </c>
      <c r="U7" s="1100" t="str">
        <f>INDEX('Доставка по областям'!$G$2:$G$90,'АКСИ ExW'!$R$5)</f>
        <v>Завод 'ТЕХНО' г.Рязань</v>
      </c>
      <c r="W7" s="1101" t="e">
        <f>INDEX('Доставка по областям'!$J$2:$J$53,VLOOKUP('АКСИ DDP'!A3,'Доставка по областям'!$A$2:$F$89,6,0))</f>
        <v>#N/A</v>
      </c>
      <c r="X7" s="984"/>
      <c r="Z7" s="985"/>
      <c r="AA7" s="553"/>
      <c r="AB7" s="553"/>
    </row>
    <row r="8" spans="1:28" ht="22.5" customHeight="1" thickBot="1" x14ac:dyDescent="0.3">
      <c r="A8" s="926" t="s">
        <v>629</v>
      </c>
      <c r="B8" s="203">
        <v>1200</v>
      </c>
      <c r="C8" s="204">
        <v>600</v>
      </c>
      <c r="D8" s="209">
        <v>50</v>
      </c>
      <c r="E8" s="987" t="s">
        <v>630</v>
      </c>
      <c r="F8" s="604" t="s">
        <v>239</v>
      </c>
      <c r="G8" s="205"/>
      <c r="H8" s="124">
        <v>0</v>
      </c>
      <c r="I8" s="592" t="str">
        <f>IF(F8="C",ROUNDUP(5500/45/'АКСИ DDP'!O8,0)*'АКСИ DDP'!O8," ")</f>
        <v xml:space="preserve"> </v>
      </c>
      <c r="J8" s="170"/>
      <c r="K8" s="125">
        <v>8</v>
      </c>
      <c r="L8" s="166">
        <f t="shared" ref="L8:L54" si="0">B8*C8*K8/1000000</f>
        <v>5.76</v>
      </c>
      <c r="M8" s="126">
        <f t="shared" ref="M8:M54" si="1">L8*D8/1000</f>
        <v>0.28799999999999998</v>
      </c>
      <c r="N8" s="127">
        <v>24</v>
      </c>
      <c r="O8" s="172">
        <f t="shared" ref="O8:O54" si="2">M8*N8</f>
        <v>6.911999999999999</v>
      </c>
      <c r="P8" s="231">
        <f t="shared" ref="P8:P54" si="3">O8*11</f>
        <v>76.031999999999982</v>
      </c>
      <c r="Q8" s="126"/>
      <c r="R8" s="88">
        <f t="shared" ref="R8:R54" si="4">IFERROR(M8*S8,"---")</f>
        <v>609.12</v>
      </c>
      <c r="S8" s="786">
        <v>2115</v>
      </c>
      <c r="T8" s="101">
        <f t="shared" ref="T8:T54" si="5">IFERROR(S8*D8/1000,"---")</f>
        <v>105.75</v>
      </c>
      <c r="U8" s="745" t="s">
        <v>655</v>
      </c>
      <c r="W8" s="953">
        <f>IF($W$2&lt;4,SUMIFS(РегСкидка!$C$3:$C$619,РегСкидка!$D$3:$D$619,INDEX('Доставка по областям'!$G$2:$G$90,'АКСИ ExW'!$R$5),РегСкидка!$B$3:$B$619,U8,РегСкидка!$E$3:$E$619,$W$7)/100*IF(OR($W$3=1,$W$3=2,$W$3=3,$W$3=4),1,0),0)</f>
        <v>0</v>
      </c>
      <c r="X8" s="953"/>
      <c r="Y8" s="1160"/>
      <c r="Z8" s="975"/>
      <c r="AA8" s="595"/>
    </row>
    <row r="9" spans="1:28" ht="22.5" customHeight="1" thickBot="1" x14ac:dyDescent="0.3">
      <c r="A9" s="708"/>
      <c r="B9" s="203">
        <v>1200</v>
      </c>
      <c r="C9" s="204">
        <v>600</v>
      </c>
      <c r="D9" s="209">
        <v>60</v>
      </c>
      <c r="E9" s="254" t="s">
        <v>631</v>
      </c>
      <c r="F9" s="604" t="s">
        <v>339</v>
      </c>
      <c r="G9" s="205">
        <v>222.22222222222223</v>
      </c>
      <c r="H9" s="124">
        <v>32.150205761316876</v>
      </c>
      <c r="I9" s="592" t="e">
        <f>IF(F9="C",ROUNDUP(5500/45/'АКСИ DDP'!O9,0)*'АКСИ DDP'!O9," ")</f>
        <v>#DIV/0!</v>
      </c>
      <c r="J9" s="170"/>
      <c r="K9" s="125">
        <v>10</v>
      </c>
      <c r="L9" s="166">
        <f t="shared" si="0"/>
        <v>7.2</v>
      </c>
      <c r="M9" s="126">
        <f t="shared" si="1"/>
        <v>0.432</v>
      </c>
      <c r="N9" s="127">
        <v>16</v>
      </c>
      <c r="O9" s="172">
        <f t="shared" si="2"/>
        <v>6.9119999999999999</v>
      </c>
      <c r="P9" s="231">
        <f t="shared" si="3"/>
        <v>76.031999999999996</v>
      </c>
      <c r="Q9" s="126"/>
      <c r="R9" s="88">
        <f t="shared" si="4"/>
        <v>913.68</v>
      </c>
      <c r="S9" s="786">
        <v>2115</v>
      </c>
      <c r="T9" s="101">
        <f t="shared" si="5"/>
        <v>126.9</v>
      </c>
      <c r="U9" s="745" t="s">
        <v>655</v>
      </c>
      <c r="W9" s="953">
        <f>IF($W$2&lt;4,SUMIFS(РегСкидка!$C$3:$C$619,РегСкидка!$D$3:$D$619,INDEX('Доставка по областям'!$G$2:$G$90,'АКСИ ExW'!$R$5),РегСкидка!$B$3:$B$619,U9,РегСкидка!$E$3:$E$619,$W$7)/100*IF(OR($W$3=1,$W$3=2,$W$3=3,$W$3=4),1,0),0)</f>
        <v>0</v>
      </c>
      <c r="X9" s="953"/>
      <c r="Y9" s="1160"/>
      <c r="Z9" s="975"/>
      <c r="AA9" s="595"/>
    </row>
    <row r="10" spans="1:28" ht="22.5" customHeight="1" thickBot="1" x14ac:dyDescent="0.3">
      <c r="A10" s="708"/>
      <c r="B10" s="203">
        <v>1200</v>
      </c>
      <c r="C10" s="204">
        <v>600</v>
      </c>
      <c r="D10" s="209">
        <v>70</v>
      </c>
      <c r="E10" s="254" t="s">
        <v>632</v>
      </c>
      <c r="F10" s="604" t="s">
        <v>339</v>
      </c>
      <c r="G10" s="205">
        <v>222.22222222222223</v>
      </c>
      <c r="H10" s="124">
        <v>34.446649029982368</v>
      </c>
      <c r="I10" s="592" t="e">
        <f>IF(F10="C",ROUNDUP(5500/45/'АКСИ DDP'!O10,0)*'АКСИ DDP'!O10," ")</f>
        <v>#DIV/0!</v>
      </c>
      <c r="J10" s="170"/>
      <c r="K10" s="125">
        <v>8</v>
      </c>
      <c r="L10" s="166">
        <f t="shared" si="0"/>
        <v>5.76</v>
      </c>
      <c r="M10" s="126">
        <f t="shared" si="1"/>
        <v>0.4032</v>
      </c>
      <c r="N10" s="127">
        <v>16</v>
      </c>
      <c r="O10" s="172">
        <f t="shared" si="2"/>
        <v>6.4512</v>
      </c>
      <c r="P10" s="231">
        <f t="shared" si="3"/>
        <v>70.963200000000001</v>
      </c>
      <c r="Q10" s="126"/>
      <c r="R10" s="88">
        <f t="shared" si="4"/>
        <v>852.76800000000003</v>
      </c>
      <c r="S10" s="786">
        <v>2115</v>
      </c>
      <c r="T10" s="101">
        <f t="shared" si="5"/>
        <v>148.05000000000001</v>
      </c>
      <c r="U10" s="745" t="s">
        <v>655</v>
      </c>
      <c r="W10" s="953">
        <f>IF($W$2&lt;4,SUMIFS(РегСкидка!$C$3:$C$619,РегСкидка!$D$3:$D$619,INDEX('Доставка по областям'!$G$2:$G$90,'АКСИ ExW'!$R$5),РегСкидка!$B$3:$B$619,U10,РегСкидка!$E$3:$E$619,$W$7)/100*IF(OR($W$3=1,$W$3=2,$W$3=3,$W$3=4),1,0),0)</f>
        <v>0</v>
      </c>
      <c r="X10" s="953"/>
      <c r="Y10" s="1160"/>
      <c r="Z10" s="975"/>
      <c r="AA10" s="595"/>
    </row>
    <row r="11" spans="1:28" ht="22.5" customHeight="1" thickBot="1" x14ac:dyDescent="0.3">
      <c r="A11" s="708"/>
      <c r="B11" s="203">
        <v>1200</v>
      </c>
      <c r="C11" s="204">
        <v>600</v>
      </c>
      <c r="D11" s="209">
        <v>80</v>
      </c>
      <c r="E11" s="254" t="s">
        <v>633</v>
      </c>
      <c r="F11" s="604" t="s">
        <v>339</v>
      </c>
      <c r="G11" s="205">
        <v>222.22222222222223</v>
      </c>
      <c r="H11" s="124">
        <v>32.150205761316869</v>
      </c>
      <c r="I11" s="592" t="e">
        <f>IF(F11="C",ROUNDUP(5500/45/'АКСИ DDP'!O11,0)*'АКСИ DDP'!O11," ")</f>
        <v>#DIV/0!</v>
      </c>
      <c r="J11" s="170"/>
      <c r="K11" s="125">
        <v>6</v>
      </c>
      <c r="L11" s="166">
        <f t="shared" si="0"/>
        <v>4.32</v>
      </c>
      <c r="M11" s="126">
        <f t="shared" si="1"/>
        <v>0.34560000000000002</v>
      </c>
      <c r="N11" s="127">
        <v>20</v>
      </c>
      <c r="O11" s="172">
        <f t="shared" si="2"/>
        <v>6.9120000000000008</v>
      </c>
      <c r="P11" s="231">
        <f t="shared" si="3"/>
        <v>76.032000000000011</v>
      </c>
      <c r="Q11" s="126"/>
      <c r="R11" s="88">
        <f t="shared" si="4"/>
        <v>730.94400000000007</v>
      </c>
      <c r="S11" s="786">
        <v>2115</v>
      </c>
      <c r="T11" s="101">
        <f t="shared" si="5"/>
        <v>169.2</v>
      </c>
      <c r="U11" s="745" t="s">
        <v>655</v>
      </c>
      <c r="W11" s="953">
        <f>IF($W$2&lt;4,SUMIFS(РегСкидка!$C$3:$C$619,РегСкидка!$D$3:$D$619,INDEX('Доставка по областям'!$G$2:$G$90,'АКСИ ExW'!$R$5),РегСкидка!$B$3:$B$619,U11,РегСкидка!$E$3:$E$619,$W$7)/100*IF(OR($W$3=1,$W$3=2,$W$3=3,$W$3=4),1,0),0)</f>
        <v>0</v>
      </c>
      <c r="X11" s="953"/>
      <c r="Y11" s="1160"/>
      <c r="Z11" s="975"/>
      <c r="AA11" s="595"/>
    </row>
    <row r="12" spans="1:28" ht="22.5" customHeight="1" thickBot="1" x14ac:dyDescent="0.3">
      <c r="A12" s="708"/>
      <c r="B12" s="203">
        <v>1200</v>
      </c>
      <c r="C12" s="204">
        <v>600</v>
      </c>
      <c r="D12" s="209">
        <v>90</v>
      </c>
      <c r="E12" s="254" t="s">
        <v>634</v>
      </c>
      <c r="F12" s="604" t="s">
        <v>339</v>
      </c>
      <c r="G12" s="205">
        <v>222.22222222222223</v>
      </c>
      <c r="H12" s="124">
        <v>35.722450845907638</v>
      </c>
      <c r="I12" s="592" t="e">
        <f>IF(F12="C",ROUNDUP(5500/45/'АКСИ DDP'!O12,0)*'АКСИ DDP'!O12," ")</f>
        <v>#DIV/0!</v>
      </c>
      <c r="J12" s="170"/>
      <c r="K12" s="125">
        <v>6</v>
      </c>
      <c r="L12" s="166">
        <f t="shared" si="0"/>
        <v>4.32</v>
      </c>
      <c r="M12" s="126">
        <f t="shared" si="1"/>
        <v>0.38880000000000003</v>
      </c>
      <c r="N12" s="127">
        <v>16</v>
      </c>
      <c r="O12" s="172">
        <f t="shared" si="2"/>
        <v>6.2208000000000006</v>
      </c>
      <c r="P12" s="231">
        <f t="shared" si="3"/>
        <v>68.42880000000001</v>
      </c>
      <c r="Q12" s="126"/>
      <c r="R12" s="88">
        <f t="shared" si="4"/>
        <v>822.31200000000013</v>
      </c>
      <c r="S12" s="786">
        <v>2115</v>
      </c>
      <c r="T12" s="101">
        <f t="shared" si="5"/>
        <v>190.35</v>
      </c>
      <c r="U12" s="745" t="s">
        <v>655</v>
      </c>
      <c r="W12" s="953">
        <f>IF($W$2&lt;4,SUMIFS(РегСкидка!$C$3:$C$619,РегСкидка!$D$3:$D$619,INDEX('Доставка по областям'!$G$2:$G$90,'АКСИ ExW'!$R$5),РегСкидка!$B$3:$B$619,U12,РегСкидка!$E$3:$E$619,$W$7)/100*IF(OR($W$3=1,$W$3=2,$W$3=3,$W$3=4),1,0),0)</f>
        <v>0</v>
      </c>
      <c r="X12" s="953"/>
      <c r="Y12" s="1160"/>
      <c r="Z12" s="975"/>
      <c r="AA12" s="595"/>
    </row>
    <row r="13" spans="1:28" ht="22.5" customHeight="1" thickBot="1" x14ac:dyDescent="0.3">
      <c r="A13" s="708"/>
      <c r="B13" s="203">
        <v>1200</v>
      </c>
      <c r="C13" s="204">
        <v>600</v>
      </c>
      <c r="D13" s="209">
        <v>100</v>
      </c>
      <c r="E13" s="254" t="s">
        <v>635</v>
      </c>
      <c r="F13" s="604" t="s">
        <v>339</v>
      </c>
      <c r="G13" s="205"/>
      <c r="H13" s="124">
        <v>0</v>
      </c>
      <c r="I13" s="592" t="e">
        <f>IF(F13="C",ROUNDUP(5500/45/'АКСИ DDP'!O13,0)*'АКСИ DDP'!O13," ")</f>
        <v>#DIV/0!</v>
      </c>
      <c r="J13" s="170"/>
      <c r="K13" s="125">
        <v>4</v>
      </c>
      <c r="L13" s="166">
        <f t="shared" si="0"/>
        <v>2.88</v>
      </c>
      <c r="M13" s="126">
        <f t="shared" si="1"/>
        <v>0.28799999999999998</v>
      </c>
      <c r="N13" s="127">
        <v>24</v>
      </c>
      <c r="O13" s="172">
        <f t="shared" si="2"/>
        <v>6.911999999999999</v>
      </c>
      <c r="P13" s="231">
        <f t="shared" si="3"/>
        <v>76.031999999999982</v>
      </c>
      <c r="Q13" s="126"/>
      <c r="R13" s="88">
        <f t="shared" si="4"/>
        <v>609.12</v>
      </c>
      <c r="S13" s="786">
        <v>2115</v>
      </c>
      <c r="T13" s="101">
        <f t="shared" si="5"/>
        <v>211.5</v>
      </c>
      <c r="U13" s="745" t="s">
        <v>655</v>
      </c>
      <c r="W13" s="953">
        <f>IF($W$2&lt;4,SUMIFS(РегСкидка!$C$3:$C$619,РегСкидка!$D$3:$D$619,INDEX('Доставка по областям'!$G$2:$G$90,'АКСИ ExW'!$R$5),РегСкидка!$B$3:$B$619,U13,РегСкидка!$E$3:$E$619,$W$7)/100*IF(OR($W$3=1,$W$3=2,$W$3=3,$W$3=4),1,0),0)</f>
        <v>0</v>
      </c>
      <c r="X13" s="953"/>
      <c r="Y13" s="1160"/>
      <c r="Z13" s="975"/>
      <c r="AA13" s="595"/>
      <c r="AB13" s="82"/>
    </row>
    <row r="14" spans="1:28" ht="22.5" customHeight="1" thickBot="1" x14ac:dyDescent="0.3">
      <c r="A14" s="708"/>
      <c r="B14" s="203">
        <v>1200</v>
      </c>
      <c r="C14" s="204">
        <v>600</v>
      </c>
      <c r="D14" s="209">
        <v>110</v>
      </c>
      <c r="E14" s="254" t="s">
        <v>636</v>
      </c>
      <c r="F14" s="604" t="s">
        <v>339</v>
      </c>
      <c r="G14" s="205">
        <v>222.22222222222223</v>
      </c>
      <c r="H14" s="124">
        <v>35.072951739618404</v>
      </c>
      <c r="I14" s="592" t="e">
        <f>IF(F14="C",ROUNDUP(5500/45/'АКСИ DDP'!O14,0)*'АКСИ DDP'!O14," ")</f>
        <v>#DIV/0!</v>
      </c>
      <c r="J14" s="170"/>
      <c r="K14" s="125">
        <v>4</v>
      </c>
      <c r="L14" s="166">
        <f t="shared" si="0"/>
        <v>2.88</v>
      </c>
      <c r="M14" s="126">
        <f t="shared" si="1"/>
        <v>0.31680000000000003</v>
      </c>
      <c r="N14" s="127">
        <v>20</v>
      </c>
      <c r="O14" s="172">
        <f t="shared" si="2"/>
        <v>6.3360000000000003</v>
      </c>
      <c r="P14" s="231">
        <f t="shared" si="3"/>
        <v>69.695999999999998</v>
      </c>
      <c r="Q14" s="126"/>
      <c r="R14" s="88">
        <f t="shared" si="4"/>
        <v>670.03200000000004</v>
      </c>
      <c r="S14" s="786">
        <v>2115</v>
      </c>
      <c r="T14" s="101">
        <f t="shared" si="5"/>
        <v>232.65</v>
      </c>
      <c r="U14" s="745" t="s">
        <v>655</v>
      </c>
      <c r="W14" s="953">
        <f>IF($W$2&lt;4,SUMIFS(РегСкидка!$C$3:$C$619,РегСкидка!$D$3:$D$619,INDEX('Доставка по областям'!$G$2:$G$90,'АКСИ ExW'!$R$5),РегСкидка!$B$3:$B$619,U14,РегСкидка!$E$3:$E$619,$W$7)/100*IF(OR($W$3=1,$W$3=2,$W$3=3,$W$3=4),1,0),0)</f>
        <v>0</v>
      </c>
      <c r="X14" s="953"/>
      <c r="Y14" s="1160"/>
      <c r="Z14" s="975"/>
    </row>
    <row r="15" spans="1:28" ht="22.5" customHeight="1" thickBot="1" x14ac:dyDescent="0.3">
      <c r="A15" s="708"/>
      <c r="B15" s="203">
        <v>1200</v>
      </c>
      <c r="C15" s="204">
        <v>600</v>
      </c>
      <c r="D15" s="209">
        <v>120</v>
      </c>
      <c r="E15" s="254" t="s">
        <v>637</v>
      </c>
      <c r="F15" s="604" t="s">
        <v>339</v>
      </c>
      <c r="G15" s="205"/>
      <c r="H15" s="124">
        <v>0</v>
      </c>
      <c r="I15" s="592" t="e">
        <f>IF(F15="C",ROUNDUP(5500/45/'АКСИ DDP'!O15,0)*'АКСИ DDP'!O15," ")</f>
        <v>#DIV/0!</v>
      </c>
      <c r="J15" s="170"/>
      <c r="K15" s="125">
        <v>5</v>
      </c>
      <c r="L15" s="166">
        <f t="shared" si="0"/>
        <v>3.6</v>
      </c>
      <c r="M15" s="126">
        <f t="shared" si="1"/>
        <v>0.432</v>
      </c>
      <c r="N15" s="127">
        <v>16</v>
      </c>
      <c r="O15" s="172">
        <f t="shared" si="2"/>
        <v>6.9119999999999999</v>
      </c>
      <c r="P15" s="231">
        <f t="shared" si="3"/>
        <v>76.031999999999996</v>
      </c>
      <c r="Q15" s="126"/>
      <c r="R15" s="88">
        <f t="shared" si="4"/>
        <v>913.68</v>
      </c>
      <c r="S15" s="786">
        <v>2115</v>
      </c>
      <c r="T15" s="101">
        <f t="shared" si="5"/>
        <v>253.8</v>
      </c>
      <c r="U15" s="745" t="s">
        <v>655</v>
      </c>
      <c r="W15" s="953">
        <f>IF($W$2&lt;4,SUMIFS(РегСкидка!$C$3:$C$619,РегСкидка!$D$3:$D$619,INDEX('Доставка по областям'!$G$2:$G$90,'АКСИ ExW'!$R$5),РегСкидка!$B$3:$B$619,U15,РегСкидка!$E$3:$E$619,$W$7)/100*IF(OR($W$3=1,$W$3=2,$W$3=3,$W$3=4),1,0),0)</f>
        <v>0</v>
      </c>
      <c r="X15" s="953"/>
      <c r="Y15" s="1160"/>
      <c r="Z15" s="975"/>
    </row>
    <row r="16" spans="1:28" ht="22.5" customHeight="1" thickBot="1" x14ac:dyDescent="0.3">
      <c r="A16" s="708"/>
      <c r="B16" s="203">
        <v>1200</v>
      </c>
      <c r="C16" s="204">
        <v>600</v>
      </c>
      <c r="D16" s="209">
        <v>130</v>
      </c>
      <c r="E16" s="254" t="s">
        <v>638</v>
      </c>
      <c r="F16" s="604" t="s">
        <v>339</v>
      </c>
      <c r="G16" s="205">
        <v>222.22222222222223</v>
      </c>
      <c r="H16" s="124">
        <v>37.096391263057932</v>
      </c>
      <c r="I16" s="592" t="e">
        <f>IF(F16="C",ROUNDUP(5500/45/'АКСИ DDP'!O16,0)*'АКСИ DDP'!O16," ")</f>
        <v>#DIV/0!</v>
      </c>
      <c r="J16" s="170"/>
      <c r="K16" s="125">
        <v>3</v>
      </c>
      <c r="L16" s="166">
        <f t="shared" si="0"/>
        <v>2.16</v>
      </c>
      <c r="M16" s="126">
        <f t="shared" si="1"/>
        <v>0.28079999999999999</v>
      </c>
      <c r="N16" s="127">
        <v>24</v>
      </c>
      <c r="O16" s="172">
        <f t="shared" si="2"/>
        <v>6.7392000000000003</v>
      </c>
      <c r="P16" s="231">
        <f t="shared" si="3"/>
        <v>74.131200000000007</v>
      </c>
      <c r="Q16" s="126"/>
      <c r="R16" s="88">
        <f t="shared" si="4"/>
        <v>593.89199999999994</v>
      </c>
      <c r="S16" s="786">
        <v>2115</v>
      </c>
      <c r="T16" s="101">
        <f t="shared" si="5"/>
        <v>274.95</v>
      </c>
      <c r="U16" s="745" t="s">
        <v>655</v>
      </c>
      <c r="W16" s="953">
        <f>IF($W$2&lt;4,SUMIFS(РегСкидка!$C$3:$C$619,РегСкидка!$D$3:$D$619,INDEX('Доставка по областям'!$G$2:$G$90,'АКСИ ExW'!$R$5),РегСкидка!$B$3:$B$619,U16,РегСкидка!$E$3:$E$619,$W$7)/100*IF(OR($W$3=1,$W$3=2,$W$3=3,$W$3=4),1,0),0)</f>
        <v>0</v>
      </c>
      <c r="X16" s="953"/>
      <c r="Y16" s="1160"/>
      <c r="Z16" s="975"/>
    </row>
    <row r="17" spans="1:28" ht="22.5" customHeight="1" thickBot="1" x14ac:dyDescent="0.3">
      <c r="A17" s="708"/>
      <c r="B17" s="203">
        <v>1200</v>
      </c>
      <c r="C17" s="204">
        <v>600</v>
      </c>
      <c r="D17" s="209">
        <v>140</v>
      </c>
      <c r="E17" s="254" t="s">
        <v>639</v>
      </c>
      <c r="F17" s="604" t="s">
        <v>339</v>
      </c>
      <c r="G17" s="205">
        <v>222.22222222222223</v>
      </c>
      <c r="H17" s="124">
        <v>36.743092298647852</v>
      </c>
      <c r="I17" s="592" t="e">
        <f>IF(F17="C",ROUNDUP(5500/45/'АКСИ DDP'!O17,0)*'АКСИ DDP'!O17," ")</f>
        <v>#DIV/0!</v>
      </c>
      <c r="J17" s="170"/>
      <c r="K17" s="125">
        <v>4</v>
      </c>
      <c r="L17" s="166">
        <f t="shared" si="0"/>
        <v>2.88</v>
      </c>
      <c r="M17" s="126">
        <f t="shared" si="1"/>
        <v>0.4032</v>
      </c>
      <c r="N17" s="127">
        <v>16</v>
      </c>
      <c r="O17" s="172">
        <f t="shared" si="2"/>
        <v>6.4512</v>
      </c>
      <c r="P17" s="231">
        <f t="shared" si="3"/>
        <v>70.963200000000001</v>
      </c>
      <c r="Q17" s="126"/>
      <c r="R17" s="88">
        <f t="shared" si="4"/>
        <v>852.76800000000003</v>
      </c>
      <c r="S17" s="786">
        <v>2115</v>
      </c>
      <c r="T17" s="101">
        <f t="shared" si="5"/>
        <v>296.10000000000002</v>
      </c>
      <c r="U17" s="745" t="s">
        <v>655</v>
      </c>
      <c r="W17" s="953">
        <f>IF($W$2&lt;4,SUMIFS(РегСкидка!$C$3:$C$619,РегСкидка!$D$3:$D$619,INDEX('Доставка по областям'!$G$2:$G$90,'АКСИ ExW'!$R$5),РегСкидка!$B$3:$B$619,U17,РегСкидка!$E$3:$E$619,$W$7)/100*IF(OR($W$3=1,$W$3=2,$W$3=3,$W$3=4),1,0),0)</f>
        <v>0</v>
      </c>
      <c r="X17" s="953"/>
      <c r="Y17" s="1160"/>
      <c r="Z17" s="975"/>
    </row>
    <row r="18" spans="1:28" ht="22.5" customHeight="1" thickBot="1" x14ac:dyDescent="0.3">
      <c r="A18" s="890"/>
      <c r="B18" s="240">
        <v>1200</v>
      </c>
      <c r="C18" s="241">
        <v>600</v>
      </c>
      <c r="D18" s="242">
        <v>150</v>
      </c>
      <c r="E18" s="257" t="s">
        <v>640</v>
      </c>
      <c r="F18" s="604" t="s">
        <v>339</v>
      </c>
      <c r="G18" s="239">
        <v>222.22222222222223</v>
      </c>
      <c r="H18" s="258">
        <v>32.150205761316876</v>
      </c>
      <c r="I18" s="1186" t="e">
        <f>IF(F18="C",ROUNDUP(5500/45/'АКСИ DDP'!O18,0)*'АКСИ DDP'!O18," ")</f>
        <v>#DIV/0!</v>
      </c>
      <c r="J18" s="262"/>
      <c r="K18" s="128">
        <v>4</v>
      </c>
      <c r="L18" s="167">
        <f t="shared" si="0"/>
        <v>2.88</v>
      </c>
      <c r="M18" s="129">
        <f t="shared" si="1"/>
        <v>0.432</v>
      </c>
      <c r="N18" s="130">
        <v>16</v>
      </c>
      <c r="O18" s="895">
        <f t="shared" si="2"/>
        <v>6.9119999999999999</v>
      </c>
      <c r="P18" s="260">
        <f t="shared" si="3"/>
        <v>76.031999999999996</v>
      </c>
      <c r="Q18" s="129"/>
      <c r="R18" s="614">
        <f t="shared" si="4"/>
        <v>913.68</v>
      </c>
      <c r="S18" s="787">
        <v>2115</v>
      </c>
      <c r="T18" s="615">
        <f t="shared" si="5"/>
        <v>317.25</v>
      </c>
      <c r="U18" s="745" t="s">
        <v>655</v>
      </c>
      <c r="W18" s="953">
        <f>IF($W$2&lt;4,SUMIFS(РегСкидка!$C$3:$C$619,РегСкидка!$D$3:$D$619,INDEX('Доставка по областям'!$G$2:$G$90,'АКСИ ExW'!$R$5),РегСкидка!$B$3:$B$619,U18,РегСкидка!$E$3:$E$619,$W$7)/100*IF(OR($W$3=1,$W$3=2,$W$3=3,$W$3=4),1,0),0)</f>
        <v>0</v>
      </c>
      <c r="X18" s="953"/>
      <c r="Y18" s="1160"/>
      <c r="Z18" s="975"/>
    </row>
    <row r="19" spans="1:28" ht="22.5" customHeight="1" thickBot="1" x14ac:dyDescent="0.3">
      <c r="A19" s="926" t="s">
        <v>641</v>
      </c>
      <c r="B19" s="203">
        <v>1200</v>
      </c>
      <c r="C19" s="204">
        <v>600</v>
      </c>
      <c r="D19" s="209">
        <v>50</v>
      </c>
      <c r="E19" s="987" t="s">
        <v>642</v>
      </c>
      <c r="F19" s="604" t="s">
        <v>239</v>
      </c>
      <c r="G19" s="205"/>
      <c r="H19" s="124">
        <v>0</v>
      </c>
      <c r="I19" s="594" t="str">
        <f>IF(F19="C",ROUNDUP(5500/65/'АКСИ DDP'!O19,0)*'АКСИ DDP'!O19," ")</f>
        <v xml:space="preserve"> </v>
      </c>
      <c r="J19" s="170"/>
      <c r="K19" s="125">
        <v>8</v>
      </c>
      <c r="L19" s="166">
        <f t="shared" si="0"/>
        <v>5.76</v>
      </c>
      <c r="M19" s="126">
        <f t="shared" si="1"/>
        <v>0.28799999999999998</v>
      </c>
      <c r="N19" s="127">
        <v>24</v>
      </c>
      <c r="O19" s="172">
        <f t="shared" si="2"/>
        <v>6.911999999999999</v>
      </c>
      <c r="P19" s="231">
        <f t="shared" si="3"/>
        <v>76.031999999999982</v>
      </c>
      <c r="Q19" s="126"/>
      <c r="R19" s="88">
        <f t="shared" si="4"/>
        <v>760.31999999999994</v>
      </c>
      <c r="S19" s="786">
        <v>2640</v>
      </c>
      <c r="T19" s="101">
        <f t="shared" si="5"/>
        <v>132</v>
      </c>
      <c r="U19" s="745" t="s">
        <v>655</v>
      </c>
      <c r="W19" s="953">
        <f>IF($W$2&lt;4,SUMIFS(РегСкидка!$C$3:$C$619,РегСкидка!$D$3:$D$619,INDEX('Доставка по областям'!$G$2:$G$90,'АКСИ ExW'!$R$5),РегСкидка!$B$3:$B$619,U19,РегСкидка!$E$3:$E$619,$W$7)/100*IF(OR($W$3=1,$W$3=2,$W$3=3,$W$3=4),1,0),0)</f>
        <v>0</v>
      </c>
      <c r="X19" s="953"/>
      <c r="Y19" s="1160"/>
      <c r="Z19" s="975"/>
      <c r="AA19" s="595"/>
    </row>
    <row r="20" spans="1:28" ht="22.5" customHeight="1" thickBot="1" x14ac:dyDescent="0.3">
      <c r="A20" s="708"/>
      <c r="B20" s="203">
        <v>1200</v>
      </c>
      <c r="C20" s="204">
        <v>600</v>
      </c>
      <c r="D20" s="209">
        <v>60</v>
      </c>
      <c r="E20" s="254" t="s">
        <v>643</v>
      </c>
      <c r="F20" s="604" t="s">
        <v>339</v>
      </c>
      <c r="G20" s="205">
        <v>222.22222222222223</v>
      </c>
      <c r="H20" s="124">
        <v>32.150205761316876</v>
      </c>
      <c r="I20" s="594" t="e">
        <f>IF(F20="C",ROUNDUP(5500/65/'АКСИ DDP'!O20,0)*'АКСИ DDP'!O20," ")</f>
        <v>#DIV/0!</v>
      </c>
      <c r="J20" s="170"/>
      <c r="K20" s="125">
        <v>8</v>
      </c>
      <c r="L20" s="166">
        <f t="shared" si="0"/>
        <v>5.76</v>
      </c>
      <c r="M20" s="126">
        <f t="shared" si="1"/>
        <v>0.34559999999999996</v>
      </c>
      <c r="N20" s="127">
        <v>20</v>
      </c>
      <c r="O20" s="172">
        <f t="shared" si="2"/>
        <v>6.911999999999999</v>
      </c>
      <c r="P20" s="231">
        <f t="shared" si="3"/>
        <v>76.031999999999982</v>
      </c>
      <c r="Q20" s="126"/>
      <c r="R20" s="88">
        <f t="shared" si="4"/>
        <v>912.3839999999999</v>
      </c>
      <c r="S20" s="786">
        <v>2640</v>
      </c>
      <c r="T20" s="101">
        <f t="shared" si="5"/>
        <v>158.4</v>
      </c>
      <c r="U20" s="745" t="s">
        <v>655</v>
      </c>
      <c r="W20" s="953">
        <f>IF($W$2&lt;4,SUMIFS(РегСкидка!$C$3:$C$619,РегСкидка!$D$3:$D$619,INDEX('Доставка по областям'!$G$2:$G$90,'АКСИ ExW'!$R$5),РегСкидка!$B$3:$B$619,U20,РегСкидка!$E$3:$E$619,$W$7)/100*IF(OR($W$3=1,$W$3=2,$W$3=3,$W$3=4),1,0),0)</f>
        <v>0</v>
      </c>
      <c r="X20" s="953"/>
      <c r="Y20" s="1160"/>
      <c r="Z20" s="975"/>
      <c r="AA20" s="595"/>
    </row>
    <row r="21" spans="1:28" ht="22.5" customHeight="1" thickBot="1" x14ac:dyDescent="0.3">
      <c r="A21" s="708"/>
      <c r="B21" s="203">
        <v>1200</v>
      </c>
      <c r="C21" s="204">
        <v>600</v>
      </c>
      <c r="D21" s="209">
        <v>70</v>
      </c>
      <c r="E21" s="254" t="s">
        <v>644</v>
      </c>
      <c r="F21" s="604" t="s">
        <v>339</v>
      </c>
      <c r="G21" s="205">
        <v>222.22222222222223</v>
      </c>
      <c r="H21" s="124">
        <v>34.446649029982368</v>
      </c>
      <c r="I21" s="594" t="e">
        <f>IF(F21="C",ROUNDUP(5500/65/'АКСИ DDP'!O21,0)*'АКСИ DDP'!O21," ")</f>
        <v>#DIV/0!</v>
      </c>
      <c r="J21" s="170"/>
      <c r="K21" s="125">
        <v>4</v>
      </c>
      <c r="L21" s="166">
        <f t="shared" si="0"/>
        <v>2.88</v>
      </c>
      <c r="M21" s="126">
        <f t="shared" si="1"/>
        <v>0.2016</v>
      </c>
      <c r="N21" s="127">
        <v>32</v>
      </c>
      <c r="O21" s="172">
        <f t="shared" si="2"/>
        <v>6.4512</v>
      </c>
      <c r="P21" s="231">
        <f t="shared" si="3"/>
        <v>70.963200000000001</v>
      </c>
      <c r="Q21" s="126"/>
      <c r="R21" s="88">
        <f t="shared" si="4"/>
        <v>532.22400000000005</v>
      </c>
      <c r="S21" s="786">
        <v>2640</v>
      </c>
      <c r="T21" s="101">
        <f t="shared" si="5"/>
        <v>184.8</v>
      </c>
      <c r="U21" s="745" t="s">
        <v>655</v>
      </c>
      <c r="W21" s="953">
        <f>IF($W$2&lt;4,SUMIFS(РегСкидка!$C$3:$C$619,РегСкидка!$D$3:$D$619,INDEX('Доставка по областям'!$G$2:$G$90,'АКСИ ExW'!$R$5),РегСкидка!$B$3:$B$619,U21,РегСкидка!$E$3:$E$619,$W$7)/100*IF(OR($W$3=1,$W$3=2,$W$3=3,$W$3=4),1,0),0)</f>
        <v>0</v>
      </c>
      <c r="X21" s="953"/>
      <c r="Y21" s="1160"/>
      <c r="Z21" s="975"/>
      <c r="AA21" s="595"/>
    </row>
    <row r="22" spans="1:28" ht="22.5" customHeight="1" thickBot="1" x14ac:dyDescent="0.3">
      <c r="A22" s="708"/>
      <c r="B22" s="203">
        <v>1200</v>
      </c>
      <c r="C22" s="204">
        <v>600</v>
      </c>
      <c r="D22" s="209">
        <v>80</v>
      </c>
      <c r="E22" s="254" t="s">
        <v>645</v>
      </c>
      <c r="F22" s="604" t="s">
        <v>339</v>
      </c>
      <c r="G22" s="205">
        <v>222.22222222222223</v>
      </c>
      <c r="H22" s="124">
        <v>32.150205761316869</v>
      </c>
      <c r="I22" s="594" t="e">
        <f>IF(F22="C",ROUNDUP(5500/65/'АКСИ DDP'!O22,0)*'АКСИ DDP'!O22," ")</f>
        <v>#DIV/0!</v>
      </c>
      <c r="J22" s="170"/>
      <c r="K22" s="125">
        <v>6</v>
      </c>
      <c r="L22" s="166">
        <f t="shared" si="0"/>
        <v>4.32</v>
      </c>
      <c r="M22" s="126">
        <f t="shared" si="1"/>
        <v>0.34560000000000002</v>
      </c>
      <c r="N22" s="127">
        <v>20</v>
      </c>
      <c r="O22" s="172">
        <f t="shared" si="2"/>
        <v>6.9120000000000008</v>
      </c>
      <c r="P22" s="231">
        <f t="shared" si="3"/>
        <v>76.032000000000011</v>
      </c>
      <c r="Q22" s="126"/>
      <c r="R22" s="88">
        <f t="shared" si="4"/>
        <v>912.38400000000001</v>
      </c>
      <c r="S22" s="786">
        <v>2640</v>
      </c>
      <c r="T22" s="101">
        <f t="shared" si="5"/>
        <v>211.2</v>
      </c>
      <c r="U22" s="745" t="s">
        <v>655</v>
      </c>
      <c r="W22" s="953">
        <f>IF($W$2&lt;4,SUMIFS(РегСкидка!$C$3:$C$619,РегСкидка!$D$3:$D$619,INDEX('Доставка по областям'!$G$2:$G$90,'АКСИ ExW'!$R$5),РегСкидка!$B$3:$B$619,U22,РегСкидка!$E$3:$E$619,$W$7)/100*IF(OR($W$3=1,$W$3=2,$W$3=3,$W$3=4),1,0),0)</f>
        <v>0</v>
      </c>
      <c r="X22" s="953"/>
      <c r="Y22" s="1160"/>
      <c r="Z22" s="975"/>
      <c r="AA22" s="595"/>
    </row>
    <row r="23" spans="1:28" ht="22.5" customHeight="1" thickBot="1" x14ac:dyDescent="0.3">
      <c r="A23" s="708"/>
      <c r="B23" s="203">
        <v>1200</v>
      </c>
      <c r="C23" s="204">
        <v>600</v>
      </c>
      <c r="D23" s="209">
        <v>90</v>
      </c>
      <c r="E23" s="254" t="s">
        <v>646</v>
      </c>
      <c r="F23" s="604" t="s">
        <v>339</v>
      </c>
      <c r="G23" s="205">
        <v>222.22222222222223</v>
      </c>
      <c r="H23" s="124">
        <v>35.722450845907638</v>
      </c>
      <c r="I23" s="594" t="e">
        <f>IF(F23="C",ROUNDUP(5500/65/'АКСИ DDP'!O23,0)*'АКСИ DDP'!O23," ")</f>
        <v>#DIV/0!</v>
      </c>
      <c r="J23" s="170"/>
      <c r="K23" s="125">
        <v>4</v>
      </c>
      <c r="L23" s="166">
        <f t="shared" si="0"/>
        <v>2.88</v>
      </c>
      <c r="M23" s="126">
        <f t="shared" si="1"/>
        <v>0.25919999999999999</v>
      </c>
      <c r="N23" s="127">
        <v>24</v>
      </c>
      <c r="O23" s="172">
        <f t="shared" si="2"/>
        <v>6.2207999999999997</v>
      </c>
      <c r="P23" s="231">
        <f t="shared" si="3"/>
        <v>68.428799999999995</v>
      </c>
      <c r="Q23" s="126"/>
      <c r="R23" s="88">
        <f t="shared" si="4"/>
        <v>684.28800000000001</v>
      </c>
      <c r="S23" s="786">
        <v>2640</v>
      </c>
      <c r="T23" s="101">
        <f t="shared" si="5"/>
        <v>237.6</v>
      </c>
      <c r="U23" s="745" t="s">
        <v>655</v>
      </c>
      <c r="W23" s="953">
        <f>IF($W$2&lt;4,SUMIFS(РегСкидка!$C$3:$C$619,РегСкидка!$D$3:$D$619,INDEX('Доставка по областям'!$G$2:$G$90,'АКСИ ExW'!$R$5),РегСкидка!$B$3:$B$619,U23,РегСкидка!$E$3:$E$619,$W$7)/100*IF(OR($W$3=1,$W$3=2,$W$3=3,$W$3=4),1,0),0)</f>
        <v>0</v>
      </c>
      <c r="X23" s="953"/>
      <c r="Y23" s="1160"/>
      <c r="Z23" s="975"/>
      <c r="AA23" s="595"/>
    </row>
    <row r="24" spans="1:28" ht="22.5" customHeight="1" thickBot="1" x14ac:dyDescent="0.3">
      <c r="A24" s="708"/>
      <c r="B24" s="203">
        <v>1200</v>
      </c>
      <c r="C24" s="204">
        <v>600</v>
      </c>
      <c r="D24" s="209">
        <v>100</v>
      </c>
      <c r="E24" s="254" t="s">
        <v>647</v>
      </c>
      <c r="F24" s="604" t="s">
        <v>339</v>
      </c>
      <c r="G24" s="205"/>
      <c r="H24" s="124">
        <v>0</v>
      </c>
      <c r="I24" s="594" t="e">
        <f>IF(F24="C",ROUNDUP(5500/65/'АКСИ DDP'!O24,0)*'АКСИ DDP'!O24," ")</f>
        <v>#DIV/0!</v>
      </c>
      <c r="J24" s="170"/>
      <c r="K24" s="125">
        <v>4</v>
      </c>
      <c r="L24" s="166">
        <f t="shared" si="0"/>
        <v>2.88</v>
      </c>
      <c r="M24" s="126">
        <f t="shared" si="1"/>
        <v>0.28799999999999998</v>
      </c>
      <c r="N24" s="127">
        <v>24</v>
      </c>
      <c r="O24" s="172">
        <f t="shared" si="2"/>
        <v>6.911999999999999</v>
      </c>
      <c r="P24" s="231">
        <f t="shared" si="3"/>
        <v>76.031999999999982</v>
      </c>
      <c r="Q24" s="126"/>
      <c r="R24" s="88">
        <f t="shared" si="4"/>
        <v>760.31999999999994</v>
      </c>
      <c r="S24" s="786">
        <v>2640</v>
      </c>
      <c r="T24" s="101">
        <f t="shared" si="5"/>
        <v>264</v>
      </c>
      <c r="U24" s="745" t="s">
        <v>655</v>
      </c>
      <c r="W24" s="953">
        <f>IF($W$2&lt;4,SUMIFS(РегСкидка!$C$3:$C$619,РегСкидка!$D$3:$D$619,INDEX('Доставка по областям'!$G$2:$G$90,'АКСИ ExW'!$R$5),РегСкидка!$B$3:$B$619,U24,РегСкидка!$E$3:$E$619,$W$7)/100*IF(OR($W$3=1,$W$3=2,$W$3=3,$W$3=4),1,0),0)</f>
        <v>0</v>
      </c>
      <c r="X24" s="953"/>
      <c r="Y24" s="1160"/>
      <c r="Z24" s="975"/>
      <c r="AA24" s="595"/>
      <c r="AB24" s="82"/>
    </row>
    <row r="25" spans="1:28" ht="22.5" customHeight="1" thickBot="1" x14ac:dyDescent="0.3">
      <c r="A25" s="708"/>
      <c r="B25" s="203">
        <v>1200</v>
      </c>
      <c r="C25" s="204">
        <v>600</v>
      </c>
      <c r="D25" s="209">
        <v>110</v>
      </c>
      <c r="E25" s="254" t="s">
        <v>648</v>
      </c>
      <c r="F25" s="604" t="s">
        <v>339</v>
      </c>
      <c r="G25" s="205">
        <v>222.22222222222223</v>
      </c>
      <c r="H25" s="124">
        <v>35.072951739618404</v>
      </c>
      <c r="I25" s="594" t="e">
        <f>IF(F25="C",ROUNDUP(5500/65/'АКСИ DDP'!O25,0)*'АКСИ DDP'!O25," ")</f>
        <v>#DIV/0!</v>
      </c>
      <c r="J25" s="170"/>
      <c r="K25" s="125">
        <v>3</v>
      </c>
      <c r="L25" s="166">
        <f t="shared" si="0"/>
        <v>2.16</v>
      </c>
      <c r="M25" s="126">
        <f t="shared" si="1"/>
        <v>0.23760000000000003</v>
      </c>
      <c r="N25" s="127">
        <v>28</v>
      </c>
      <c r="O25" s="172">
        <f t="shared" si="2"/>
        <v>6.6528000000000009</v>
      </c>
      <c r="P25" s="231">
        <f t="shared" si="3"/>
        <v>73.180800000000005</v>
      </c>
      <c r="Q25" s="126"/>
      <c r="R25" s="88">
        <f t="shared" si="4"/>
        <v>627.26400000000012</v>
      </c>
      <c r="S25" s="786">
        <v>2640</v>
      </c>
      <c r="T25" s="101">
        <f t="shared" si="5"/>
        <v>290.39999999999998</v>
      </c>
      <c r="U25" s="745" t="s">
        <v>655</v>
      </c>
      <c r="W25" s="953">
        <f>IF($W$2&lt;4,SUMIFS(РегСкидка!$C$3:$C$619,РегСкидка!$D$3:$D$619,INDEX('Доставка по областям'!$G$2:$G$90,'АКСИ ExW'!$R$5),РегСкидка!$B$3:$B$619,U25,РегСкидка!$E$3:$E$619,$W$7)/100*IF(OR($W$3=1,$W$3=2,$W$3=3,$W$3=4),1,0),0)</f>
        <v>0</v>
      </c>
      <c r="X25" s="953"/>
      <c r="Y25" s="1160"/>
      <c r="Z25" s="975"/>
    </row>
    <row r="26" spans="1:28" ht="22.5" customHeight="1" thickBot="1" x14ac:dyDescent="0.3">
      <c r="A26" s="708"/>
      <c r="B26" s="203">
        <v>1200</v>
      </c>
      <c r="C26" s="204">
        <v>600</v>
      </c>
      <c r="D26" s="209">
        <v>120</v>
      </c>
      <c r="E26" s="254" t="s">
        <v>649</v>
      </c>
      <c r="F26" s="604" t="s">
        <v>339</v>
      </c>
      <c r="G26" s="205"/>
      <c r="H26" s="124">
        <v>0</v>
      </c>
      <c r="I26" s="594" t="e">
        <f>IF(F26="C",ROUNDUP(5500/65/'АКСИ DDP'!O26,0)*'АКСИ DDP'!O26," ")</f>
        <v>#DIV/0!</v>
      </c>
      <c r="J26" s="170"/>
      <c r="K26" s="125">
        <v>4</v>
      </c>
      <c r="L26" s="166">
        <f t="shared" si="0"/>
        <v>2.88</v>
      </c>
      <c r="M26" s="126">
        <f t="shared" si="1"/>
        <v>0.34559999999999996</v>
      </c>
      <c r="N26" s="127">
        <v>20</v>
      </c>
      <c r="O26" s="172">
        <f t="shared" si="2"/>
        <v>6.911999999999999</v>
      </c>
      <c r="P26" s="231">
        <f t="shared" si="3"/>
        <v>76.031999999999982</v>
      </c>
      <c r="Q26" s="126"/>
      <c r="R26" s="88">
        <f t="shared" si="4"/>
        <v>912.3839999999999</v>
      </c>
      <c r="S26" s="786">
        <v>2640</v>
      </c>
      <c r="T26" s="101">
        <f t="shared" si="5"/>
        <v>316.8</v>
      </c>
      <c r="U26" s="745" t="s">
        <v>655</v>
      </c>
      <c r="W26" s="953">
        <f>IF($W$2&lt;4,SUMIFS(РегСкидка!$C$3:$C$619,РегСкидка!$D$3:$D$619,INDEX('Доставка по областям'!$G$2:$G$90,'АКСИ ExW'!$R$5),РегСкидка!$B$3:$B$619,U26,РегСкидка!$E$3:$E$619,$W$7)/100*IF(OR($W$3=1,$W$3=2,$W$3=3,$W$3=4),1,0),0)</f>
        <v>0</v>
      </c>
      <c r="X26" s="953"/>
      <c r="Y26" s="1160"/>
      <c r="Z26" s="975"/>
    </row>
    <row r="27" spans="1:28" ht="22.5" customHeight="1" thickBot="1" x14ac:dyDescent="0.3">
      <c r="A27" s="708"/>
      <c r="B27" s="203">
        <v>1200</v>
      </c>
      <c r="C27" s="204">
        <v>600</v>
      </c>
      <c r="D27" s="209">
        <v>130</v>
      </c>
      <c r="E27" s="254" t="s">
        <v>650</v>
      </c>
      <c r="F27" s="604" t="s">
        <v>339</v>
      </c>
      <c r="G27" s="205">
        <v>222.22222222222223</v>
      </c>
      <c r="H27" s="124">
        <v>37.096391263057932</v>
      </c>
      <c r="I27" s="594" t="e">
        <f>IF(F27="C",ROUNDUP(5500/65/'АКСИ DDP'!O27,0)*'АКСИ DDP'!O27," ")</f>
        <v>#DIV/0!</v>
      </c>
      <c r="J27" s="170"/>
      <c r="K27" s="125">
        <v>3</v>
      </c>
      <c r="L27" s="166">
        <f t="shared" si="0"/>
        <v>2.16</v>
      </c>
      <c r="M27" s="126">
        <f t="shared" si="1"/>
        <v>0.28079999999999999</v>
      </c>
      <c r="N27" s="127">
        <v>24</v>
      </c>
      <c r="O27" s="172">
        <f t="shared" si="2"/>
        <v>6.7392000000000003</v>
      </c>
      <c r="P27" s="231">
        <f t="shared" si="3"/>
        <v>74.131200000000007</v>
      </c>
      <c r="Q27" s="126"/>
      <c r="R27" s="88">
        <f t="shared" si="4"/>
        <v>741.31200000000001</v>
      </c>
      <c r="S27" s="786">
        <v>2640</v>
      </c>
      <c r="T27" s="101">
        <f t="shared" si="5"/>
        <v>343.2</v>
      </c>
      <c r="U27" s="745" t="s">
        <v>655</v>
      </c>
      <c r="W27" s="953">
        <f>IF($W$2&lt;4,SUMIFS(РегСкидка!$C$3:$C$619,РегСкидка!$D$3:$D$619,INDEX('Доставка по областям'!$G$2:$G$90,'АКСИ ExW'!$R$5),РегСкидка!$B$3:$B$619,U27,РегСкидка!$E$3:$E$619,$W$7)/100*IF(OR($W$3=1,$W$3=2,$W$3=3,$W$3=4),1,0),0)</f>
        <v>0</v>
      </c>
      <c r="X27" s="953"/>
      <c r="Y27" s="1160"/>
      <c r="Z27" s="975"/>
    </row>
    <row r="28" spans="1:28" ht="22.5" customHeight="1" thickBot="1" x14ac:dyDescent="0.3">
      <c r="A28" s="708"/>
      <c r="B28" s="203">
        <v>1200</v>
      </c>
      <c r="C28" s="204">
        <v>600</v>
      </c>
      <c r="D28" s="209">
        <v>140</v>
      </c>
      <c r="E28" s="254" t="s">
        <v>651</v>
      </c>
      <c r="F28" s="604" t="s">
        <v>339</v>
      </c>
      <c r="G28" s="205">
        <v>222.22222222222223</v>
      </c>
      <c r="H28" s="124">
        <v>36.743092298647852</v>
      </c>
      <c r="I28" s="594" t="e">
        <f>IF(F28="C",ROUNDUP(5500/65/'АКСИ DDP'!O28,0)*'АКСИ DDP'!O28," ")</f>
        <v>#DIV/0!</v>
      </c>
      <c r="J28" s="170"/>
      <c r="K28" s="125">
        <v>4</v>
      </c>
      <c r="L28" s="166">
        <f t="shared" si="0"/>
        <v>2.88</v>
      </c>
      <c r="M28" s="126">
        <f t="shared" si="1"/>
        <v>0.4032</v>
      </c>
      <c r="N28" s="127">
        <v>16</v>
      </c>
      <c r="O28" s="172">
        <f t="shared" si="2"/>
        <v>6.4512</v>
      </c>
      <c r="P28" s="231">
        <f t="shared" si="3"/>
        <v>70.963200000000001</v>
      </c>
      <c r="Q28" s="126"/>
      <c r="R28" s="88">
        <f t="shared" si="4"/>
        <v>1064.4480000000001</v>
      </c>
      <c r="S28" s="786">
        <v>2640</v>
      </c>
      <c r="T28" s="101">
        <f t="shared" si="5"/>
        <v>369.6</v>
      </c>
      <c r="U28" s="745" t="s">
        <v>655</v>
      </c>
      <c r="W28" s="953">
        <f>IF($W$2&lt;4,SUMIFS(РегСкидка!$C$3:$C$619,РегСкидка!$D$3:$D$619,INDEX('Доставка по областям'!$G$2:$G$90,'АКСИ ExW'!$R$5),РегСкидка!$B$3:$B$619,U28,РегСкидка!$E$3:$E$619,$W$7)/100*IF(OR($W$3=1,$W$3=2,$W$3=3,$W$3=4),1,0),0)</f>
        <v>0</v>
      </c>
      <c r="X28" s="953"/>
      <c r="Y28" s="1160"/>
      <c r="Z28" s="975"/>
    </row>
    <row r="29" spans="1:28" ht="22.5" customHeight="1" thickBot="1" x14ac:dyDescent="0.3">
      <c r="A29" s="890"/>
      <c r="B29" s="240">
        <v>1200</v>
      </c>
      <c r="C29" s="241">
        <v>600</v>
      </c>
      <c r="D29" s="242">
        <v>150</v>
      </c>
      <c r="E29" s="257" t="s">
        <v>652</v>
      </c>
      <c r="F29" s="604" t="s">
        <v>339</v>
      </c>
      <c r="G29" s="239">
        <v>222.22222222222223</v>
      </c>
      <c r="H29" s="258">
        <v>32.150205761316876</v>
      </c>
      <c r="I29" s="1186" t="e">
        <f>IF(F29="C",ROUNDUP(5500/65/'АКСИ DDP'!O29,0)*'АКСИ DDP'!O29," ")</f>
        <v>#DIV/0!</v>
      </c>
      <c r="J29" s="262"/>
      <c r="K29" s="128">
        <v>4</v>
      </c>
      <c r="L29" s="167">
        <f t="shared" si="0"/>
        <v>2.88</v>
      </c>
      <c r="M29" s="129">
        <f t="shared" si="1"/>
        <v>0.432</v>
      </c>
      <c r="N29" s="130">
        <v>16</v>
      </c>
      <c r="O29" s="895">
        <f t="shared" si="2"/>
        <v>6.9119999999999999</v>
      </c>
      <c r="P29" s="260">
        <f t="shared" si="3"/>
        <v>76.031999999999996</v>
      </c>
      <c r="Q29" s="129"/>
      <c r="R29" s="614">
        <f t="shared" si="4"/>
        <v>1140.48</v>
      </c>
      <c r="S29" s="787">
        <v>2640</v>
      </c>
      <c r="T29" s="615">
        <f t="shared" si="5"/>
        <v>396</v>
      </c>
      <c r="U29" s="745" t="s">
        <v>655</v>
      </c>
      <c r="W29" s="953">
        <f>IF($W$2&lt;4,SUMIFS(РегСкидка!$C$3:$C$619,РегСкидка!$D$3:$D$619,INDEX('Доставка по областям'!$G$2:$G$90,'АКСИ ExW'!$R$5),РегСкидка!$B$3:$B$619,U29,РегСкидка!$E$3:$E$619,$W$7)/100*IF(OR($W$3=1,$W$3=2,$W$3=3,$W$3=4),1,0),0)</f>
        <v>0</v>
      </c>
      <c r="X29" s="953"/>
      <c r="Y29" s="1160"/>
      <c r="Z29" s="975"/>
    </row>
    <row r="30" spans="1:28" ht="22.5" customHeight="1" thickBot="1" x14ac:dyDescent="0.3">
      <c r="A30" s="926" t="s">
        <v>653</v>
      </c>
      <c r="B30" s="203">
        <v>1200</v>
      </c>
      <c r="C30" s="204">
        <v>600</v>
      </c>
      <c r="D30" s="209">
        <v>50</v>
      </c>
      <c r="E30" s="987" t="s">
        <v>657</v>
      </c>
      <c r="F30" s="604" t="s">
        <v>239</v>
      </c>
      <c r="G30" s="205"/>
      <c r="H30" s="124">
        <v>0</v>
      </c>
      <c r="I30" s="594" t="str">
        <f>IF(F30="C",ROUNDUP(5500/80/'АКСИ DDP'!O30,0)*'АКСИ DDP'!O30," ")</f>
        <v xml:space="preserve"> </v>
      </c>
      <c r="J30" s="170"/>
      <c r="K30" s="125">
        <v>6</v>
      </c>
      <c r="L30" s="166">
        <f t="shared" si="0"/>
        <v>4.32</v>
      </c>
      <c r="M30" s="126">
        <f t="shared" si="1"/>
        <v>0.216</v>
      </c>
      <c r="N30" s="127">
        <v>32</v>
      </c>
      <c r="O30" s="172">
        <f t="shared" si="2"/>
        <v>6.9119999999999999</v>
      </c>
      <c r="P30" s="231">
        <f t="shared" si="3"/>
        <v>76.031999999999996</v>
      </c>
      <c r="Q30" s="126"/>
      <c r="R30" s="88">
        <f t="shared" si="4"/>
        <v>719.28</v>
      </c>
      <c r="S30" s="786">
        <v>3330</v>
      </c>
      <c r="T30" s="101">
        <f t="shared" si="5"/>
        <v>166.5</v>
      </c>
      <c r="U30" s="745" t="s">
        <v>656</v>
      </c>
      <c r="W30" s="953">
        <f>IF($W$2&lt;4,SUMIFS(РегСкидка!$C$3:$C$619,РегСкидка!$D$3:$D$619,INDEX('Доставка по областям'!$G$2:$G$90,'АКСИ ExW'!$R$5),РегСкидка!$B$3:$B$619,U30,РегСкидка!$E$3:$E$619,$W$7)/100*IF(OR($W$3=1,$W$3=2,$W$3=3,$W$3=4),1,0),0)</f>
        <v>0</v>
      </c>
      <c r="X30" s="953"/>
      <c r="Y30" s="1160"/>
      <c r="Z30" s="975"/>
      <c r="AA30" s="595"/>
    </row>
    <row r="31" spans="1:28" ht="22.5" customHeight="1" thickBot="1" x14ac:dyDescent="0.3">
      <c r="A31" s="708"/>
      <c r="B31" s="203">
        <v>1200</v>
      </c>
      <c r="C31" s="204">
        <v>600</v>
      </c>
      <c r="D31" s="209">
        <v>60</v>
      </c>
      <c r="E31" s="254" t="s">
        <v>658</v>
      </c>
      <c r="F31" s="604" t="s">
        <v>339</v>
      </c>
      <c r="G31" s="205">
        <v>222.22222222222223</v>
      </c>
      <c r="H31" s="124">
        <v>32.150205761316876</v>
      </c>
      <c r="I31" s="594" t="e">
        <f>IF(F31="C",ROUNDUP(5500/80/'АКСИ DDP'!O31,0)*'АКСИ DDP'!O31," ")</f>
        <v>#DIV/0!</v>
      </c>
      <c r="J31" s="170"/>
      <c r="K31" s="125">
        <v>5</v>
      </c>
      <c r="L31" s="166">
        <f t="shared" si="0"/>
        <v>3.6</v>
      </c>
      <c r="M31" s="126">
        <f t="shared" si="1"/>
        <v>0.216</v>
      </c>
      <c r="N31" s="127">
        <v>32</v>
      </c>
      <c r="O31" s="172">
        <f t="shared" si="2"/>
        <v>6.9119999999999999</v>
      </c>
      <c r="P31" s="231">
        <f t="shared" si="3"/>
        <v>76.031999999999996</v>
      </c>
      <c r="Q31" s="126"/>
      <c r="R31" s="88">
        <f t="shared" si="4"/>
        <v>719.28</v>
      </c>
      <c r="S31" s="786">
        <v>3330</v>
      </c>
      <c r="T31" s="101">
        <f t="shared" si="5"/>
        <v>199.8</v>
      </c>
      <c r="U31" s="745" t="s">
        <v>656</v>
      </c>
      <c r="W31" s="953">
        <f>IF($W$2&lt;4,SUMIFS(РегСкидка!$C$3:$C$619,РегСкидка!$D$3:$D$619,INDEX('Доставка по областям'!$G$2:$G$90,'АКСИ ExW'!$R$5),РегСкидка!$B$3:$B$619,U31,РегСкидка!$E$3:$E$619,$W$7)/100*IF(OR($W$3=1,$W$3=2,$W$3=3,$W$3=4),1,0),0)</f>
        <v>0</v>
      </c>
      <c r="X31" s="953"/>
      <c r="Y31" s="1160"/>
      <c r="Z31" s="975"/>
      <c r="AA31" s="595"/>
    </row>
    <row r="32" spans="1:28" ht="22.5" customHeight="1" thickBot="1" x14ac:dyDescent="0.3">
      <c r="A32" s="708"/>
      <c r="B32" s="203">
        <v>1200</v>
      </c>
      <c r="C32" s="204">
        <v>600</v>
      </c>
      <c r="D32" s="209">
        <v>70</v>
      </c>
      <c r="E32" s="254" t="s">
        <v>659</v>
      </c>
      <c r="F32" s="604" t="s">
        <v>339</v>
      </c>
      <c r="G32" s="205">
        <v>222.22222222222223</v>
      </c>
      <c r="H32" s="124">
        <v>34.446649029982368</v>
      </c>
      <c r="I32" s="594" t="e">
        <f>IF(F32="C",ROUNDUP(5500/80/'АКСИ DDP'!O32,0)*'АКСИ DDP'!O32," ")</f>
        <v>#DIV/0!</v>
      </c>
      <c r="J32" s="170"/>
      <c r="K32" s="125">
        <v>4</v>
      </c>
      <c r="L32" s="166">
        <f t="shared" si="0"/>
        <v>2.88</v>
      </c>
      <c r="M32" s="126">
        <f t="shared" si="1"/>
        <v>0.2016</v>
      </c>
      <c r="N32" s="127">
        <v>32</v>
      </c>
      <c r="O32" s="172">
        <f t="shared" si="2"/>
        <v>6.4512</v>
      </c>
      <c r="P32" s="231">
        <f t="shared" si="3"/>
        <v>70.963200000000001</v>
      </c>
      <c r="Q32" s="126"/>
      <c r="R32" s="88">
        <f t="shared" si="4"/>
        <v>671.32799999999997</v>
      </c>
      <c r="S32" s="786">
        <v>3330</v>
      </c>
      <c r="T32" s="101">
        <f t="shared" si="5"/>
        <v>233.1</v>
      </c>
      <c r="U32" s="745" t="s">
        <v>656</v>
      </c>
      <c r="W32" s="953">
        <f>IF($W$2&lt;4,SUMIFS(РегСкидка!$C$3:$C$619,РегСкидка!$D$3:$D$619,INDEX('Доставка по областям'!$G$2:$G$90,'АКСИ ExW'!$R$5),РегСкидка!$B$3:$B$619,U32,РегСкидка!$E$3:$E$619,$W$7)/100*IF(OR($W$3=1,$W$3=2,$W$3=3,$W$3=4),1,0),0)</f>
        <v>0</v>
      </c>
      <c r="X32" s="953"/>
      <c r="Y32" s="1160"/>
      <c r="Z32" s="975"/>
      <c r="AA32" s="595"/>
    </row>
    <row r="33" spans="1:28" ht="22.5" customHeight="1" thickBot="1" x14ac:dyDescent="0.3">
      <c r="A33" s="708"/>
      <c r="B33" s="203">
        <v>1200</v>
      </c>
      <c r="C33" s="204">
        <v>600</v>
      </c>
      <c r="D33" s="209">
        <v>80</v>
      </c>
      <c r="E33" s="254" t="s">
        <v>660</v>
      </c>
      <c r="F33" s="604" t="s">
        <v>339</v>
      </c>
      <c r="G33" s="205">
        <v>222.22222222222223</v>
      </c>
      <c r="H33" s="124">
        <v>32.150205761316869</v>
      </c>
      <c r="I33" s="594" t="e">
        <f>IF(F33="C",ROUNDUP(5500/80/'АКСИ DDP'!O33,0)*'АКСИ DDP'!O33," ")</f>
        <v>#DIV/0!</v>
      </c>
      <c r="J33" s="170"/>
      <c r="K33" s="125">
        <v>5</v>
      </c>
      <c r="L33" s="166">
        <f t="shared" si="0"/>
        <v>3.6</v>
      </c>
      <c r="M33" s="126">
        <f t="shared" si="1"/>
        <v>0.28799999999999998</v>
      </c>
      <c r="N33" s="127">
        <v>24</v>
      </c>
      <c r="O33" s="172">
        <f t="shared" si="2"/>
        <v>6.911999999999999</v>
      </c>
      <c r="P33" s="231">
        <f t="shared" si="3"/>
        <v>76.031999999999982</v>
      </c>
      <c r="Q33" s="126"/>
      <c r="R33" s="88">
        <f t="shared" si="4"/>
        <v>959.04</v>
      </c>
      <c r="S33" s="786">
        <v>3330</v>
      </c>
      <c r="T33" s="101">
        <f t="shared" si="5"/>
        <v>266.39999999999998</v>
      </c>
      <c r="U33" s="745" t="s">
        <v>656</v>
      </c>
      <c r="W33" s="953">
        <f>IF($W$2&lt;4,SUMIFS(РегСкидка!$C$3:$C$619,РегСкидка!$D$3:$D$619,INDEX('Доставка по областям'!$G$2:$G$90,'АКСИ ExW'!$R$5),РегСкидка!$B$3:$B$619,U33,РегСкидка!$E$3:$E$619,$W$7)/100*IF(OR($W$3=1,$W$3=2,$W$3=3,$W$3=4),1,0),0)</f>
        <v>0</v>
      </c>
      <c r="X33" s="953"/>
      <c r="Y33" s="1160"/>
      <c r="Z33" s="975"/>
      <c r="AA33" s="595"/>
    </row>
    <row r="34" spans="1:28" ht="22.5" customHeight="1" thickBot="1" x14ac:dyDescent="0.3">
      <c r="A34" s="708"/>
      <c r="B34" s="203">
        <v>1200</v>
      </c>
      <c r="C34" s="204">
        <v>600</v>
      </c>
      <c r="D34" s="209">
        <v>90</v>
      </c>
      <c r="E34" s="254" t="s">
        <v>661</v>
      </c>
      <c r="F34" s="604" t="s">
        <v>339</v>
      </c>
      <c r="G34" s="205">
        <v>222.22222222222223</v>
      </c>
      <c r="H34" s="124">
        <v>35.722450845907638</v>
      </c>
      <c r="I34" s="594" t="e">
        <f>IF(F34="C",ROUNDUP(5500/80/'АКСИ DDP'!O34,0)*'АКСИ DDP'!O34," ")</f>
        <v>#DIV/0!</v>
      </c>
      <c r="J34" s="170"/>
      <c r="K34" s="125">
        <v>5</v>
      </c>
      <c r="L34" s="166">
        <f t="shared" si="0"/>
        <v>3.6</v>
      </c>
      <c r="M34" s="126">
        <f t="shared" si="1"/>
        <v>0.32400000000000001</v>
      </c>
      <c r="N34" s="127">
        <v>20</v>
      </c>
      <c r="O34" s="172">
        <f t="shared" si="2"/>
        <v>6.48</v>
      </c>
      <c r="P34" s="231">
        <f t="shared" si="3"/>
        <v>71.28</v>
      </c>
      <c r="Q34" s="126"/>
      <c r="R34" s="88">
        <f t="shared" si="4"/>
        <v>1078.92</v>
      </c>
      <c r="S34" s="786">
        <v>3330</v>
      </c>
      <c r="T34" s="101">
        <f t="shared" si="5"/>
        <v>299.7</v>
      </c>
      <c r="U34" s="745" t="s">
        <v>656</v>
      </c>
      <c r="W34" s="953">
        <f>IF($W$2&lt;4,SUMIFS(РегСкидка!$C$3:$C$619,РегСкидка!$D$3:$D$619,INDEX('Доставка по областям'!$G$2:$G$90,'АКСИ ExW'!$R$5),РегСкидка!$B$3:$B$619,U34,РегСкидка!$E$3:$E$619,$W$7)/100*IF(OR($W$3=1,$W$3=2,$W$3=3,$W$3=4),1,0),0)</f>
        <v>0</v>
      </c>
      <c r="X34" s="953"/>
      <c r="Y34" s="1160"/>
      <c r="Z34" s="975"/>
      <c r="AA34" s="595"/>
    </row>
    <row r="35" spans="1:28" ht="22.5" customHeight="1" thickBot="1" x14ac:dyDescent="0.3">
      <c r="A35" s="708"/>
      <c r="B35" s="203">
        <v>1200</v>
      </c>
      <c r="C35" s="204">
        <v>600</v>
      </c>
      <c r="D35" s="209">
        <v>100</v>
      </c>
      <c r="E35" s="254" t="s">
        <v>662</v>
      </c>
      <c r="F35" s="604" t="s">
        <v>239</v>
      </c>
      <c r="G35" s="205"/>
      <c r="H35" s="124">
        <v>0</v>
      </c>
      <c r="I35" s="594" t="str">
        <f>IF(F35="C",ROUNDUP(5500/80/'АКСИ DDP'!O35,0)*'АКСИ DDP'!O35," ")</f>
        <v xml:space="preserve"> </v>
      </c>
      <c r="J35" s="170"/>
      <c r="K35" s="125">
        <v>4</v>
      </c>
      <c r="L35" s="166">
        <f t="shared" si="0"/>
        <v>2.88</v>
      </c>
      <c r="M35" s="126">
        <f t="shared" si="1"/>
        <v>0.28799999999999998</v>
      </c>
      <c r="N35" s="127">
        <v>24</v>
      </c>
      <c r="O35" s="172">
        <f t="shared" si="2"/>
        <v>6.911999999999999</v>
      </c>
      <c r="P35" s="231">
        <f t="shared" si="3"/>
        <v>76.031999999999982</v>
      </c>
      <c r="Q35" s="126"/>
      <c r="R35" s="88">
        <f t="shared" si="4"/>
        <v>959.04</v>
      </c>
      <c r="S35" s="786">
        <v>3330</v>
      </c>
      <c r="T35" s="101">
        <f t="shared" si="5"/>
        <v>333</v>
      </c>
      <c r="U35" s="745" t="s">
        <v>656</v>
      </c>
      <c r="W35" s="953">
        <f>IF($W$2&lt;4,SUMIFS(РегСкидка!$C$3:$C$619,РегСкидка!$D$3:$D$619,INDEX('Доставка по областям'!$G$2:$G$90,'АКСИ ExW'!$R$5),РегСкидка!$B$3:$B$619,U35,РегСкидка!$E$3:$E$619,$W$7)/100*IF(OR($W$3=1,$W$3=2,$W$3=3,$W$3=4),1,0),0)</f>
        <v>0</v>
      </c>
      <c r="X35" s="953"/>
      <c r="Y35" s="1160"/>
      <c r="Z35" s="975"/>
      <c r="AA35" s="595"/>
      <c r="AB35" s="82"/>
    </row>
    <row r="36" spans="1:28" ht="22.5" customHeight="1" thickBot="1" x14ac:dyDescent="0.3">
      <c r="A36" s="708"/>
      <c r="B36" s="203">
        <v>1200</v>
      </c>
      <c r="C36" s="204">
        <v>600</v>
      </c>
      <c r="D36" s="209">
        <v>110</v>
      </c>
      <c r="E36" s="254" t="s">
        <v>663</v>
      </c>
      <c r="F36" s="604" t="s">
        <v>339</v>
      </c>
      <c r="G36" s="205">
        <v>222.22222222222223</v>
      </c>
      <c r="H36" s="124">
        <v>35.072951739618404</v>
      </c>
      <c r="I36" s="594" t="e">
        <f>IF(F36="C",ROUNDUP(5500/80/'АКСИ DDP'!O36,0)*'АКСИ DDP'!O36," ")</f>
        <v>#DIV/0!</v>
      </c>
      <c r="J36" s="170"/>
      <c r="K36" s="125">
        <v>3</v>
      </c>
      <c r="L36" s="166">
        <f t="shared" si="0"/>
        <v>2.16</v>
      </c>
      <c r="M36" s="126">
        <f t="shared" si="1"/>
        <v>0.23760000000000003</v>
      </c>
      <c r="N36" s="127">
        <v>28</v>
      </c>
      <c r="O36" s="172">
        <f t="shared" si="2"/>
        <v>6.6528000000000009</v>
      </c>
      <c r="P36" s="231">
        <f t="shared" si="3"/>
        <v>73.180800000000005</v>
      </c>
      <c r="Q36" s="126"/>
      <c r="R36" s="88">
        <f t="shared" si="4"/>
        <v>791.20800000000008</v>
      </c>
      <c r="S36" s="786">
        <v>3330</v>
      </c>
      <c r="T36" s="101">
        <f t="shared" si="5"/>
        <v>366.3</v>
      </c>
      <c r="U36" s="745" t="s">
        <v>656</v>
      </c>
      <c r="W36" s="953">
        <f>IF($W$2&lt;4,SUMIFS(РегСкидка!$C$3:$C$619,РегСкидка!$D$3:$D$619,INDEX('Доставка по областям'!$G$2:$G$90,'АКСИ ExW'!$R$5),РегСкидка!$B$3:$B$619,U36,РегСкидка!$E$3:$E$619,$W$7)/100*IF(OR($W$3=1,$W$3=2,$W$3=3,$W$3=4),1,0),0)</f>
        <v>0</v>
      </c>
      <c r="X36" s="953"/>
      <c r="Y36" s="1160"/>
      <c r="Z36" s="975"/>
    </row>
    <row r="37" spans="1:28" ht="22.5" customHeight="1" thickBot="1" x14ac:dyDescent="0.3">
      <c r="A37" s="708"/>
      <c r="B37" s="203">
        <v>1200</v>
      </c>
      <c r="C37" s="204">
        <v>600</v>
      </c>
      <c r="D37" s="209">
        <v>120</v>
      </c>
      <c r="E37" s="254" t="s">
        <v>678</v>
      </c>
      <c r="F37" s="604" t="s">
        <v>339</v>
      </c>
      <c r="G37" s="205"/>
      <c r="H37" s="124">
        <v>0</v>
      </c>
      <c r="I37" s="594" t="e">
        <f>IF(F37="C",ROUNDUP(5500/80/'АКСИ DDP'!O37,0)*'АКСИ DDP'!O37," ")</f>
        <v>#DIV/0!</v>
      </c>
      <c r="J37" s="170"/>
      <c r="K37" s="125">
        <v>2</v>
      </c>
      <c r="L37" s="166">
        <f t="shared" si="0"/>
        <v>1.44</v>
      </c>
      <c r="M37" s="126">
        <f t="shared" si="1"/>
        <v>0.17279999999999998</v>
      </c>
      <c r="N37" s="127">
        <v>40</v>
      </c>
      <c r="O37" s="172">
        <f t="shared" si="2"/>
        <v>6.911999999999999</v>
      </c>
      <c r="P37" s="231">
        <f t="shared" si="3"/>
        <v>76.031999999999982</v>
      </c>
      <c r="Q37" s="126"/>
      <c r="R37" s="88">
        <f t="shared" si="4"/>
        <v>575.42399999999998</v>
      </c>
      <c r="S37" s="786">
        <v>3330</v>
      </c>
      <c r="T37" s="101">
        <f t="shared" si="5"/>
        <v>399.6</v>
      </c>
      <c r="U37" s="745" t="s">
        <v>656</v>
      </c>
      <c r="W37" s="953">
        <f>IF($W$2&lt;4,SUMIFS(РегСкидка!$C$3:$C$619,РегСкидка!$D$3:$D$619,INDEX('Доставка по областям'!$G$2:$G$90,'АКСИ ExW'!$R$5),РегСкидка!$B$3:$B$619,U37,РегСкидка!$E$3:$E$619,$W$7)/100*IF(OR($W$3=1,$W$3=2,$W$3=3,$W$3=4),1,0),0)</f>
        <v>0</v>
      </c>
      <c r="X37" s="953"/>
      <c r="Y37" s="1160"/>
      <c r="Z37" s="975"/>
    </row>
    <row r="38" spans="1:28" ht="22.5" customHeight="1" thickBot="1" x14ac:dyDescent="0.3">
      <c r="A38" s="708"/>
      <c r="B38" s="203">
        <v>1200</v>
      </c>
      <c r="C38" s="204">
        <v>600</v>
      </c>
      <c r="D38" s="209">
        <v>130</v>
      </c>
      <c r="E38" s="254" t="s">
        <v>664</v>
      </c>
      <c r="F38" s="604" t="s">
        <v>339</v>
      </c>
      <c r="G38" s="205">
        <v>222.22222222222223</v>
      </c>
      <c r="H38" s="124">
        <v>37.096391263057932</v>
      </c>
      <c r="I38" s="594" t="e">
        <f>IF(F38="C",ROUNDUP(5500/80/'АКСИ DDP'!O38,0)*'АКСИ DDP'!O38," ")</f>
        <v>#DIV/0!</v>
      </c>
      <c r="J38" s="170"/>
      <c r="K38" s="125">
        <v>2</v>
      </c>
      <c r="L38" s="166">
        <f t="shared" si="0"/>
        <v>1.44</v>
      </c>
      <c r="M38" s="126">
        <f t="shared" si="1"/>
        <v>0.18719999999999998</v>
      </c>
      <c r="N38" s="127">
        <v>36</v>
      </c>
      <c r="O38" s="172">
        <f t="shared" si="2"/>
        <v>6.7391999999999994</v>
      </c>
      <c r="P38" s="231">
        <f t="shared" si="3"/>
        <v>74.131199999999993</v>
      </c>
      <c r="Q38" s="126"/>
      <c r="R38" s="88">
        <f t="shared" si="4"/>
        <v>623.37599999999998</v>
      </c>
      <c r="S38" s="786">
        <v>3330</v>
      </c>
      <c r="T38" s="101">
        <f t="shared" si="5"/>
        <v>432.9</v>
      </c>
      <c r="U38" s="745" t="s">
        <v>656</v>
      </c>
      <c r="W38" s="953">
        <f>IF($W$2&lt;4,SUMIFS(РегСкидка!$C$3:$C$619,РегСкидка!$D$3:$D$619,INDEX('Доставка по областям'!$G$2:$G$90,'АКСИ ExW'!$R$5),РегСкидка!$B$3:$B$619,U38,РегСкидка!$E$3:$E$619,$W$7)/100*IF(OR($W$3=1,$W$3=2,$W$3=3,$W$3=4),1,0),0)</f>
        <v>0</v>
      </c>
      <c r="X38" s="953"/>
      <c r="Y38" s="1160"/>
      <c r="Z38" s="975"/>
    </row>
    <row r="39" spans="1:28" ht="22.5" customHeight="1" thickBot="1" x14ac:dyDescent="0.3">
      <c r="A39" s="708"/>
      <c r="B39" s="203">
        <v>1200</v>
      </c>
      <c r="C39" s="204">
        <v>600</v>
      </c>
      <c r="D39" s="209">
        <v>140</v>
      </c>
      <c r="E39" s="254" t="s">
        <v>665</v>
      </c>
      <c r="F39" s="604" t="s">
        <v>339</v>
      </c>
      <c r="G39" s="205">
        <v>222.22222222222223</v>
      </c>
      <c r="H39" s="124">
        <v>36.743092298647852</v>
      </c>
      <c r="I39" s="594" t="e">
        <f>IF(F39="C",ROUNDUP(5500/80/'АКСИ DDP'!O39,0)*'АКСИ DDP'!O39," ")</f>
        <v>#DIV/0!</v>
      </c>
      <c r="J39" s="170"/>
      <c r="K39" s="125">
        <v>2</v>
      </c>
      <c r="L39" s="166">
        <f t="shared" si="0"/>
        <v>1.44</v>
      </c>
      <c r="M39" s="126">
        <f t="shared" si="1"/>
        <v>0.2016</v>
      </c>
      <c r="N39" s="127">
        <v>32</v>
      </c>
      <c r="O39" s="172">
        <f t="shared" si="2"/>
        <v>6.4512</v>
      </c>
      <c r="P39" s="231">
        <f t="shared" si="3"/>
        <v>70.963200000000001</v>
      </c>
      <c r="Q39" s="126"/>
      <c r="R39" s="88">
        <f t="shared" si="4"/>
        <v>671.32799999999997</v>
      </c>
      <c r="S39" s="786">
        <v>3330</v>
      </c>
      <c r="T39" s="101">
        <f t="shared" si="5"/>
        <v>466.2</v>
      </c>
      <c r="U39" s="745" t="s">
        <v>656</v>
      </c>
      <c r="W39" s="953">
        <f>IF($W$2&lt;4,SUMIFS(РегСкидка!$C$3:$C$619,РегСкидка!$D$3:$D$619,INDEX('Доставка по областям'!$G$2:$G$90,'АКСИ ExW'!$R$5),РегСкидка!$B$3:$B$619,U39,РегСкидка!$E$3:$E$619,$W$7)/100*IF(OR($W$3=1,$W$3=2,$W$3=3,$W$3=4),1,0),0)</f>
        <v>0</v>
      </c>
      <c r="X39" s="953"/>
      <c r="Y39" s="1160"/>
      <c r="Z39" s="975"/>
    </row>
    <row r="40" spans="1:28" ht="22.5" customHeight="1" thickBot="1" x14ac:dyDescent="0.3">
      <c r="A40" s="890"/>
      <c r="B40" s="240">
        <v>1200</v>
      </c>
      <c r="C40" s="241">
        <v>600</v>
      </c>
      <c r="D40" s="242">
        <v>150</v>
      </c>
      <c r="E40" s="257" t="s">
        <v>666</v>
      </c>
      <c r="F40" s="604" t="s">
        <v>339</v>
      </c>
      <c r="G40" s="239">
        <v>222.22222222222223</v>
      </c>
      <c r="H40" s="258">
        <v>32.150205761316876</v>
      </c>
      <c r="I40" s="1186" t="e">
        <f>IF(F40="C",ROUNDUP(5500/80/'АКСИ DDP'!O40,0)*'АКСИ DDP'!O40," ")</f>
        <v>#DIV/0!</v>
      </c>
      <c r="J40" s="262"/>
      <c r="K40" s="128">
        <v>2</v>
      </c>
      <c r="L40" s="167">
        <f t="shared" si="0"/>
        <v>1.44</v>
      </c>
      <c r="M40" s="129">
        <f t="shared" si="1"/>
        <v>0.216</v>
      </c>
      <c r="N40" s="130">
        <v>32</v>
      </c>
      <c r="O40" s="895">
        <f t="shared" si="2"/>
        <v>6.9119999999999999</v>
      </c>
      <c r="P40" s="260">
        <f t="shared" si="3"/>
        <v>76.031999999999996</v>
      </c>
      <c r="Q40" s="129"/>
      <c r="R40" s="614">
        <f t="shared" si="4"/>
        <v>719.28</v>
      </c>
      <c r="S40" s="787">
        <v>3330</v>
      </c>
      <c r="T40" s="615">
        <f t="shared" si="5"/>
        <v>499.5</v>
      </c>
      <c r="U40" s="745" t="s">
        <v>656</v>
      </c>
      <c r="W40" s="953">
        <f>IF($W$2&lt;4,SUMIFS(РегСкидка!$C$3:$C$619,РегСкидка!$D$3:$D$619,INDEX('Доставка по областям'!$G$2:$G$90,'АКСИ ExW'!$R$5),РегСкидка!$B$3:$B$619,U40,РегСкидка!$E$3:$E$619,$W$7)/100*IF(OR($W$3=1,$W$3=2,$W$3=3,$W$3=4),1,0),0)</f>
        <v>0</v>
      </c>
      <c r="X40" s="953"/>
      <c r="Y40" s="1160"/>
      <c r="Z40" s="975"/>
    </row>
    <row r="41" spans="1:28" ht="22.5" customHeight="1" thickBot="1" x14ac:dyDescent="0.3">
      <c r="A41" s="926" t="s">
        <v>654</v>
      </c>
      <c r="B41" s="203">
        <v>1200</v>
      </c>
      <c r="C41" s="204">
        <v>600</v>
      </c>
      <c r="D41" s="209">
        <v>50</v>
      </c>
      <c r="E41" s="987" t="s">
        <v>667</v>
      </c>
      <c r="F41" s="604" t="s">
        <v>239</v>
      </c>
      <c r="G41" s="205"/>
      <c r="H41" s="124">
        <v>0</v>
      </c>
      <c r="I41" s="594" t="str">
        <f>IF(F41="C",ROUNDUP(5500/110/'АКСИ DDP'!O41,0)*'АКСИ DDP'!O41," ")</f>
        <v xml:space="preserve"> </v>
      </c>
      <c r="J41" s="170"/>
      <c r="K41" s="125">
        <v>6</v>
      </c>
      <c r="L41" s="166">
        <f t="shared" si="0"/>
        <v>4.32</v>
      </c>
      <c r="M41" s="126">
        <f t="shared" si="1"/>
        <v>0.216</v>
      </c>
      <c r="N41" s="127">
        <v>32</v>
      </c>
      <c r="O41" s="172">
        <f t="shared" si="2"/>
        <v>6.9119999999999999</v>
      </c>
      <c r="P41" s="231">
        <f t="shared" si="3"/>
        <v>76.031999999999996</v>
      </c>
      <c r="Q41" s="126"/>
      <c r="R41" s="88">
        <f t="shared" si="4"/>
        <v>980.64</v>
      </c>
      <c r="S41" s="786">
        <v>4540</v>
      </c>
      <c r="T41" s="101">
        <f t="shared" si="5"/>
        <v>227</v>
      </c>
      <c r="U41" s="745" t="s">
        <v>656</v>
      </c>
      <c r="W41" s="953">
        <f>IF($W$2&lt;4,SUMIFS(РегСкидка!$C$3:$C$619,РегСкидка!$D$3:$D$619,INDEX('Доставка по областям'!$G$2:$G$90,'АКСИ ExW'!$R$5),РегСкидка!$B$3:$B$619,U41,РегСкидка!$E$3:$E$619,$W$7)/100*IF(OR($W$3=1,$W$3=2,$W$3=3,$W$3=4),1,0),0)</f>
        <v>0</v>
      </c>
      <c r="X41" s="953"/>
      <c r="Y41" s="1160"/>
      <c r="Z41" s="975"/>
      <c r="AA41" s="595"/>
    </row>
    <row r="42" spans="1:28" ht="22.5" customHeight="1" thickBot="1" x14ac:dyDescent="0.3">
      <c r="A42" s="708"/>
      <c r="B42" s="203">
        <v>1200</v>
      </c>
      <c r="C42" s="204">
        <v>600</v>
      </c>
      <c r="D42" s="209">
        <v>60</v>
      </c>
      <c r="E42" s="254" t="s">
        <v>668</v>
      </c>
      <c r="F42" s="604" t="s">
        <v>339</v>
      </c>
      <c r="G42" s="205">
        <v>222.22222222222223</v>
      </c>
      <c r="H42" s="124">
        <v>32.150205761316876</v>
      </c>
      <c r="I42" s="594" t="e">
        <f>IF(F42="C",ROUNDUP(5500/110/'АКСИ DDP'!O42,0)*'АКСИ DDP'!O42," ")</f>
        <v>#DIV/0!</v>
      </c>
      <c r="J42" s="170"/>
      <c r="K42" s="125">
        <v>4</v>
      </c>
      <c r="L42" s="166">
        <f t="shared" si="0"/>
        <v>2.88</v>
      </c>
      <c r="M42" s="126">
        <f t="shared" si="1"/>
        <v>0.17279999999999998</v>
      </c>
      <c r="N42" s="127">
        <v>40</v>
      </c>
      <c r="O42" s="172">
        <f t="shared" si="2"/>
        <v>6.911999999999999</v>
      </c>
      <c r="P42" s="231">
        <f t="shared" si="3"/>
        <v>76.031999999999982</v>
      </c>
      <c r="Q42" s="126"/>
      <c r="R42" s="88">
        <f t="shared" si="4"/>
        <v>784.51199999999994</v>
      </c>
      <c r="S42" s="786">
        <v>4540</v>
      </c>
      <c r="T42" s="101">
        <f t="shared" si="5"/>
        <v>272.39999999999998</v>
      </c>
      <c r="U42" s="745" t="s">
        <v>656</v>
      </c>
      <c r="W42" s="953">
        <f>IF($W$2&lt;4,SUMIFS(РегСкидка!$C$3:$C$619,РегСкидка!$D$3:$D$619,INDEX('Доставка по областям'!$G$2:$G$90,'АКСИ ExW'!$R$5),РегСкидка!$B$3:$B$619,U42,РегСкидка!$E$3:$E$619,$W$7)/100*IF(OR($W$3=1,$W$3=2,$W$3=3,$W$3=4),1,0),0)</f>
        <v>0</v>
      </c>
      <c r="X42" s="953"/>
      <c r="Y42" s="1160"/>
      <c r="Z42" s="975"/>
      <c r="AA42" s="595"/>
    </row>
    <row r="43" spans="1:28" ht="22.5" customHeight="1" thickBot="1" x14ac:dyDescent="0.3">
      <c r="A43" s="708"/>
      <c r="B43" s="203">
        <v>1200</v>
      </c>
      <c r="C43" s="204">
        <v>600</v>
      </c>
      <c r="D43" s="209">
        <v>70</v>
      </c>
      <c r="E43" s="254" t="s">
        <v>669</v>
      </c>
      <c r="F43" s="604" t="s">
        <v>339</v>
      </c>
      <c r="G43" s="205">
        <v>222.22222222222223</v>
      </c>
      <c r="H43" s="124">
        <v>34.446649029982368</v>
      </c>
      <c r="I43" s="594" t="e">
        <f>IF(F43="C",ROUNDUP(5500/110/'АКСИ DDP'!O43,0)*'АКСИ DDP'!O43," ")</f>
        <v>#DIV/0!</v>
      </c>
      <c r="J43" s="170"/>
      <c r="K43" s="125">
        <v>4</v>
      </c>
      <c r="L43" s="166">
        <f t="shared" si="0"/>
        <v>2.88</v>
      </c>
      <c r="M43" s="126">
        <f t="shared" si="1"/>
        <v>0.2016</v>
      </c>
      <c r="N43" s="127">
        <v>32</v>
      </c>
      <c r="O43" s="172">
        <f t="shared" si="2"/>
        <v>6.4512</v>
      </c>
      <c r="P43" s="231">
        <f t="shared" si="3"/>
        <v>70.963200000000001</v>
      </c>
      <c r="Q43" s="126"/>
      <c r="R43" s="88">
        <f t="shared" si="4"/>
        <v>915.26400000000001</v>
      </c>
      <c r="S43" s="786">
        <v>4540</v>
      </c>
      <c r="T43" s="101">
        <f t="shared" si="5"/>
        <v>317.8</v>
      </c>
      <c r="U43" s="745" t="s">
        <v>656</v>
      </c>
      <c r="W43" s="953">
        <f>IF($W$2&lt;4,SUMIFS(РегСкидка!$C$3:$C$619,РегСкидка!$D$3:$D$619,INDEX('Доставка по областям'!$G$2:$G$90,'АКСИ ExW'!$R$5),РегСкидка!$B$3:$B$619,U43,РегСкидка!$E$3:$E$619,$W$7)/100*IF(OR($W$3=1,$W$3=2,$W$3=3,$W$3=4),1,0),0)</f>
        <v>0</v>
      </c>
      <c r="X43" s="953"/>
      <c r="Y43" s="1160"/>
      <c r="Z43" s="975"/>
      <c r="AA43" s="595"/>
    </row>
    <row r="44" spans="1:28" ht="22.5" customHeight="1" thickBot="1" x14ac:dyDescent="0.3">
      <c r="A44" s="708"/>
      <c r="B44" s="203">
        <v>1200</v>
      </c>
      <c r="C44" s="204">
        <v>600</v>
      </c>
      <c r="D44" s="209">
        <v>80</v>
      </c>
      <c r="E44" s="254" t="s">
        <v>670</v>
      </c>
      <c r="F44" s="604" t="s">
        <v>339</v>
      </c>
      <c r="G44" s="205">
        <v>222.22222222222223</v>
      </c>
      <c r="H44" s="124">
        <v>32.150205761316869</v>
      </c>
      <c r="I44" s="594" t="e">
        <f>IF(F44="C",ROUNDUP(5500/110/'АКСИ DDP'!O44,0)*'АКСИ DDP'!O44," ")</f>
        <v>#DIV/0!</v>
      </c>
      <c r="J44" s="170"/>
      <c r="K44" s="125">
        <v>3</v>
      </c>
      <c r="L44" s="166">
        <f t="shared" si="0"/>
        <v>2.16</v>
      </c>
      <c r="M44" s="126">
        <f t="shared" si="1"/>
        <v>0.17280000000000001</v>
      </c>
      <c r="N44" s="127">
        <v>40</v>
      </c>
      <c r="O44" s="172">
        <f t="shared" si="2"/>
        <v>6.9120000000000008</v>
      </c>
      <c r="P44" s="231">
        <f t="shared" si="3"/>
        <v>76.032000000000011</v>
      </c>
      <c r="Q44" s="126"/>
      <c r="R44" s="88">
        <f t="shared" si="4"/>
        <v>784.51200000000006</v>
      </c>
      <c r="S44" s="786">
        <v>4540</v>
      </c>
      <c r="T44" s="101">
        <f t="shared" si="5"/>
        <v>363.2</v>
      </c>
      <c r="U44" s="745" t="s">
        <v>656</v>
      </c>
      <c r="W44" s="953">
        <f>IF($W$2&lt;4,SUMIFS(РегСкидка!$C$3:$C$619,РегСкидка!$D$3:$D$619,INDEX('Доставка по областям'!$G$2:$G$90,'АКСИ ExW'!$R$5),РегСкидка!$B$3:$B$619,U44,РегСкидка!$E$3:$E$619,$W$7)/100*IF(OR($W$3=1,$W$3=2,$W$3=3,$W$3=4),1,0),0)</f>
        <v>0</v>
      </c>
      <c r="X44" s="953"/>
      <c r="Y44" s="1160"/>
      <c r="Z44" s="975"/>
      <c r="AA44" s="595"/>
    </row>
    <row r="45" spans="1:28" ht="22.5" customHeight="1" thickBot="1" x14ac:dyDescent="0.3">
      <c r="A45" s="708"/>
      <c r="B45" s="203">
        <v>1200</v>
      </c>
      <c r="C45" s="204">
        <v>600</v>
      </c>
      <c r="D45" s="209">
        <v>90</v>
      </c>
      <c r="E45" s="254" t="s">
        <v>671</v>
      </c>
      <c r="F45" s="604" t="s">
        <v>339</v>
      </c>
      <c r="G45" s="205">
        <v>222.22222222222223</v>
      </c>
      <c r="H45" s="124">
        <v>35.722450845907638</v>
      </c>
      <c r="I45" s="594" t="e">
        <f>IF(F45="C",ROUNDUP(5500/110/'АКСИ DDP'!O45,0)*'АКСИ DDP'!O45," ")</f>
        <v>#DIV/0!</v>
      </c>
      <c r="J45" s="170"/>
      <c r="K45" s="125">
        <v>3</v>
      </c>
      <c r="L45" s="166">
        <f t="shared" si="0"/>
        <v>2.16</v>
      </c>
      <c r="M45" s="126">
        <f t="shared" si="1"/>
        <v>0.19440000000000002</v>
      </c>
      <c r="N45" s="127">
        <v>32</v>
      </c>
      <c r="O45" s="172">
        <f t="shared" si="2"/>
        <v>6.2208000000000006</v>
      </c>
      <c r="P45" s="231">
        <f t="shared" si="3"/>
        <v>68.42880000000001</v>
      </c>
      <c r="Q45" s="126"/>
      <c r="R45" s="88">
        <f t="shared" si="4"/>
        <v>882.57600000000002</v>
      </c>
      <c r="S45" s="786">
        <v>4540</v>
      </c>
      <c r="T45" s="101">
        <f t="shared" si="5"/>
        <v>408.6</v>
      </c>
      <c r="U45" s="745" t="s">
        <v>656</v>
      </c>
      <c r="W45" s="953">
        <f>IF($W$2&lt;4,SUMIFS(РегСкидка!$C$3:$C$619,РегСкидка!$D$3:$D$619,INDEX('Доставка по областям'!$G$2:$G$90,'АКСИ ExW'!$R$5),РегСкидка!$B$3:$B$619,U45,РегСкидка!$E$3:$E$619,$W$7)/100*IF(OR($W$3=1,$W$3=2,$W$3=3,$W$3=4),1,0),0)</f>
        <v>0</v>
      </c>
      <c r="X45" s="953"/>
      <c r="Y45" s="1160"/>
      <c r="Z45" s="975"/>
      <c r="AA45" s="595"/>
    </row>
    <row r="46" spans="1:28" ht="22.5" customHeight="1" thickBot="1" x14ac:dyDescent="0.3">
      <c r="A46" s="708"/>
      <c r="B46" s="203">
        <v>1200</v>
      </c>
      <c r="C46" s="204">
        <v>600</v>
      </c>
      <c r="D46" s="209">
        <v>100</v>
      </c>
      <c r="E46" s="254" t="s">
        <v>672</v>
      </c>
      <c r="F46" s="604" t="s">
        <v>239</v>
      </c>
      <c r="G46" s="205"/>
      <c r="H46" s="124">
        <v>0</v>
      </c>
      <c r="I46" s="594" t="str">
        <f>IF(F46="C",ROUNDUP(5500/110/'АКСИ DDP'!O46,0)*'АКСИ DDP'!O46," ")</f>
        <v xml:space="preserve"> </v>
      </c>
      <c r="J46" s="170"/>
      <c r="K46" s="125">
        <v>3</v>
      </c>
      <c r="L46" s="166">
        <f t="shared" si="0"/>
        <v>2.16</v>
      </c>
      <c r="M46" s="126">
        <f t="shared" si="1"/>
        <v>0.216</v>
      </c>
      <c r="N46" s="127">
        <v>32</v>
      </c>
      <c r="O46" s="172">
        <f t="shared" si="2"/>
        <v>6.9119999999999999</v>
      </c>
      <c r="P46" s="231">
        <f t="shared" si="3"/>
        <v>76.031999999999996</v>
      </c>
      <c r="Q46" s="126"/>
      <c r="R46" s="88">
        <f t="shared" si="4"/>
        <v>980.64</v>
      </c>
      <c r="S46" s="786">
        <v>4540</v>
      </c>
      <c r="T46" s="101">
        <f t="shared" si="5"/>
        <v>454</v>
      </c>
      <c r="U46" s="745" t="s">
        <v>656</v>
      </c>
      <c r="W46" s="953">
        <f>IF($W$2&lt;4,SUMIFS(РегСкидка!$C$3:$C$619,РегСкидка!$D$3:$D$619,INDEX('Доставка по областям'!$G$2:$G$90,'АКСИ ExW'!$R$5),РегСкидка!$B$3:$B$619,U46,РегСкидка!$E$3:$E$619,$W$7)/100*IF(OR($W$3=1,$W$3=2,$W$3=3,$W$3=4),1,0),0)</f>
        <v>0</v>
      </c>
      <c r="X46" s="953"/>
      <c r="Y46" s="1160"/>
      <c r="Z46" s="975"/>
      <c r="AA46" s="595"/>
      <c r="AB46" s="82"/>
    </row>
    <row r="47" spans="1:28" ht="22.5" customHeight="1" thickBot="1" x14ac:dyDescent="0.3">
      <c r="A47" s="708"/>
      <c r="B47" s="203">
        <v>1200</v>
      </c>
      <c r="C47" s="204">
        <v>600</v>
      </c>
      <c r="D47" s="209">
        <v>110</v>
      </c>
      <c r="E47" s="254" t="s">
        <v>673</v>
      </c>
      <c r="F47" s="604" t="s">
        <v>339</v>
      </c>
      <c r="G47" s="205">
        <v>222.22222222222223</v>
      </c>
      <c r="H47" s="124">
        <v>35.072951739618404</v>
      </c>
      <c r="I47" s="594" t="e">
        <f>IF(F47="C",ROUNDUP(5500/110/'АКСИ DDP'!O47,0)*'АКСИ DDP'!O47," ")</f>
        <v>#DIV/0!</v>
      </c>
      <c r="J47" s="170"/>
      <c r="K47" s="125">
        <v>3</v>
      </c>
      <c r="L47" s="166">
        <f t="shared" si="0"/>
        <v>2.16</v>
      </c>
      <c r="M47" s="126">
        <f t="shared" si="1"/>
        <v>0.23760000000000003</v>
      </c>
      <c r="N47" s="127">
        <v>28</v>
      </c>
      <c r="O47" s="172">
        <f t="shared" si="2"/>
        <v>6.6528000000000009</v>
      </c>
      <c r="P47" s="231">
        <f t="shared" si="3"/>
        <v>73.180800000000005</v>
      </c>
      <c r="Q47" s="126"/>
      <c r="R47" s="88">
        <f t="shared" si="4"/>
        <v>1078.7040000000002</v>
      </c>
      <c r="S47" s="786">
        <v>4540</v>
      </c>
      <c r="T47" s="101">
        <f t="shared" si="5"/>
        <v>499.4</v>
      </c>
      <c r="U47" s="745" t="s">
        <v>656</v>
      </c>
      <c r="W47" s="953">
        <f>IF($W$2&lt;4,SUMIFS(РегСкидка!$C$3:$C$619,РегСкидка!$D$3:$D$619,INDEX('Доставка по областям'!$G$2:$G$90,'АКСИ ExW'!$R$5),РегСкидка!$B$3:$B$619,U47,РегСкидка!$E$3:$E$619,$W$7)/100*IF(OR($W$3=1,$W$3=2,$W$3=3,$W$3=4),1,0),0)</f>
        <v>0</v>
      </c>
      <c r="X47" s="953"/>
      <c r="Y47" s="1160"/>
      <c r="Z47" s="975"/>
    </row>
    <row r="48" spans="1:28" ht="22.5" customHeight="1" thickBot="1" x14ac:dyDescent="0.3">
      <c r="A48" s="708"/>
      <c r="B48" s="203">
        <v>1200</v>
      </c>
      <c r="C48" s="204">
        <v>600</v>
      </c>
      <c r="D48" s="209">
        <v>120</v>
      </c>
      <c r="E48" s="254" t="s">
        <v>674</v>
      </c>
      <c r="F48" s="604" t="s">
        <v>339</v>
      </c>
      <c r="G48" s="205"/>
      <c r="H48" s="124">
        <v>0</v>
      </c>
      <c r="I48" s="594" t="e">
        <f>IF(F48="C",ROUNDUP(5500/110/'АКСИ DDP'!O48,0)*'АКСИ DDP'!O48," ")</f>
        <v>#DIV/0!</v>
      </c>
      <c r="J48" s="170"/>
      <c r="K48" s="125">
        <v>2</v>
      </c>
      <c r="L48" s="166">
        <f t="shared" si="0"/>
        <v>1.44</v>
      </c>
      <c r="M48" s="126">
        <f t="shared" si="1"/>
        <v>0.17279999999999998</v>
      </c>
      <c r="N48" s="127">
        <v>40</v>
      </c>
      <c r="O48" s="172">
        <f t="shared" si="2"/>
        <v>6.911999999999999</v>
      </c>
      <c r="P48" s="231">
        <f t="shared" si="3"/>
        <v>76.031999999999982</v>
      </c>
      <c r="Q48" s="126"/>
      <c r="R48" s="88">
        <f t="shared" si="4"/>
        <v>784.51199999999994</v>
      </c>
      <c r="S48" s="786">
        <v>4540</v>
      </c>
      <c r="T48" s="101">
        <f t="shared" si="5"/>
        <v>544.79999999999995</v>
      </c>
      <c r="U48" s="745" t="s">
        <v>656</v>
      </c>
      <c r="W48" s="953">
        <f>IF($W$2&lt;4,SUMIFS(РегСкидка!$C$3:$C$619,РегСкидка!$D$3:$D$619,INDEX('Доставка по областям'!$G$2:$G$90,'АКСИ ExW'!$R$5),РегСкидка!$B$3:$B$619,U48,РегСкидка!$E$3:$E$619,$W$7)/100*IF(OR($W$3=1,$W$3=2,$W$3=3,$W$3=4),1,0),0)</f>
        <v>0</v>
      </c>
      <c r="X48" s="953"/>
      <c r="Y48" s="1160"/>
      <c r="Z48" s="975"/>
    </row>
    <row r="49" spans="1:28" ht="22.5" customHeight="1" thickBot="1" x14ac:dyDescent="0.3">
      <c r="A49" s="708"/>
      <c r="B49" s="203">
        <v>1200</v>
      </c>
      <c r="C49" s="204">
        <v>600</v>
      </c>
      <c r="D49" s="209">
        <v>130</v>
      </c>
      <c r="E49" s="254" t="s">
        <v>675</v>
      </c>
      <c r="F49" s="604" t="s">
        <v>339</v>
      </c>
      <c r="G49" s="205">
        <v>222.22222222222223</v>
      </c>
      <c r="H49" s="124">
        <v>37.096391263057932</v>
      </c>
      <c r="I49" s="594" t="e">
        <f>IF(F49="C",ROUNDUP(5500/110/'АКСИ DDP'!O49,0)*'АКСИ DDP'!O49," ")</f>
        <v>#DIV/0!</v>
      </c>
      <c r="J49" s="170"/>
      <c r="K49" s="125">
        <v>2</v>
      </c>
      <c r="L49" s="166">
        <f t="shared" si="0"/>
        <v>1.44</v>
      </c>
      <c r="M49" s="126">
        <f t="shared" si="1"/>
        <v>0.18719999999999998</v>
      </c>
      <c r="N49" s="127">
        <v>36</v>
      </c>
      <c r="O49" s="172">
        <f t="shared" si="2"/>
        <v>6.7391999999999994</v>
      </c>
      <c r="P49" s="231">
        <f t="shared" si="3"/>
        <v>74.131199999999993</v>
      </c>
      <c r="Q49" s="126"/>
      <c r="R49" s="88">
        <f t="shared" si="4"/>
        <v>849.88799999999992</v>
      </c>
      <c r="S49" s="786">
        <v>4540</v>
      </c>
      <c r="T49" s="101">
        <f t="shared" si="5"/>
        <v>590.20000000000005</v>
      </c>
      <c r="U49" s="745" t="s">
        <v>656</v>
      </c>
      <c r="W49" s="953">
        <f>IF($W$2&lt;4,SUMIFS(РегСкидка!$C$3:$C$619,РегСкидка!$D$3:$D$619,INDEX('Доставка по областям'!$G$2:$G$90,'АКСИ ExW'!$R$5),РегСкидка!$B$3:$B$619,U49,РегСкидка!$E$3:$E$619,$W$7)/100*IF(OR($W$3=1,$W$3=2,$W$3=3,$W$3=4),1,0),0)</f>
        <v>0</v>
      </c>
      <c r="X49" s="953"/>
      <c r="Y49" s="1160"/>
      <c r="Z49" s="975"/>
    </row>
    <row r="50" spans="1:28" ht="22.5" customHeight="1" thickBot="1" x14ac:dyDescent="0.3">
      <c r="A50" s="708"/>
      <c r="B50" s="203">
        <v>1200</v>
      </c>
      <c r="C50" s="204">
        <v>600</v>
      </c>
      <c r="D50" s="209">
        <v>140</v>
      </c>
      <c r="E50" s="254" t="s">
        <v>676</v>
      </c>
      <c r="F50" s="604" t="s">
        <v>339</v>
      </c>
      <c r="G50" s="205">
        <v>222.22222222222223</v>
      </c>
      <c r="H50" s="124">
        <v>36.743092298647852</v>
      </c>
      <c r="I50" s="594" t="e">
        <f>IF(F50="C",ROUNDUP(5500/110/'АКСИ DDP'!O50,0)*'АКСИ DDP'!O50," ")</f>
        <v>#DIV/0!</v>
      </c>
      <c r="J50" s="170"/>
      <c r="K50" s="125">
        <v>2</v>
      </c>
      <c r="L50" s="166">
        <f t="shared" si="0"/>
        <v>1.44</v>
      </c>
      <c r="M50" s="126">
        <f t="shared" si="1"/>
        <v>0.2016</v>
      </c>
      <c r="N50" s="127">
        <v>32</v>
      </c>
      <c r="O50" s="172">
        <f t="shared" si="2"/>
        <v>6.4512</v>
      </c>
      <c r="P50" s="231">
        <f t="shared" si="3"/>
        <v>70.963200000000001</v>
      </c>
      <c r="Q50" s="126"/>
      <c r="R50" s="88">
        <f t="shared" si="4"/>
        <v>915.26400000000001</v>
      </c>
      <c r="S50" s="786">
        <v>4540</v>
      </c>
      <c r="T50" s="101">
        <f t="shared" si="5"/>
        <v>635.6</v>
      </c>
      <c r="U50" s="745" t="s">
        <v>656</v>
      </c>
      <c r="W50" s="953">
        <f>IF($W$2&lt;4,SUMIFS(РегСкидка!$C$3:$C$619,РегСкидка!$D$3:$D$619,INDEX('Доставка по областям'!$G$2:$G$90,'АКСИ ExW'!$R$5),РегСкидка!$B$3:$B$619,U50,РегСкидка!$E$3:$E$619,$W$7)/100*IF(OR($W$3=1,$W$3=2,$W$3=3,$W$3=4),1,0),0)</f>
        <v>0</v>
      </c>
      <c r="X50" s="953"/>
      <c r="Y50" s="1160"/>
      <c r="Z50" s="975"/>
    </row>
    <row r="51" spans="1:28" ht="22.5" customHeight="1" thickBot="1" x14ac:dyDescent="0.3">
      <c r="A51" s="890"/>
      <c r="B51" s="240">
        <v>1200</v>
      </c>
      <c r="C51" s="241">
        <v>600</v>
      </c>
      <c r="D51" s="242">
        <v>150</v>
      </c>
      <c r="E51" s="257" t="s">
        <v>677</v>
      </c>
      <c r="F51" s="604" t="s">
        <v>339</v>
      </c>
      <c r="G51" s="239">
        <v>222.22222222222223</v>
      </c>
      <c r="H51" s="258">
        <v>32.150205761316876</v>
      </c>
      <c r="I51" s="1186" t="e">
        <f>IF(F51="C",ROUNDUP(5500/110/'АКСИ DDP'!O51,0)*'АКСИ DDP'!O51," ")</f>
        <v>#DIV/0!</v>
      </c>
      <c r="J51" s="262"/>
      <c r="K51" s="128">
        <v>2</v>
      </c>
      <c r="L51" s="167">
        <f t="shared" si="0"/>
        <v>1.44</v>
      </c>
      <c r="M51" s="129">
        <f t="shared" si="1"/>
        <v>0.216</v>
      </c>
      <c r="N51" s="130">
        <v>32</v>
      </c>
      <c r="O51" s="895">
        <f t="shared" si="2"/>
        <v>6.9119999999999999</v>
      </c>
      <c r="P51" s="260">
        <f t="shared" si="3"/>
        <v>76.031999999999996</v>
      </c>
      <c r="Q51" s="129"/>
      <c r="R51" s="614">
        <f t="shared" si="4"/>
        <v>980.64</v>
      </c>
      <c r="S51" s="787">
        <v>4540</v>
      </c>
      <c r="T51" s="615">
        <f t="shared" si="5"/>
        <v>681</v>
      </c>
      <c r="U51" s="745" t="s">
        <v>656</v>
      </c>
      <c r="W51" s="953">
        <f>IF($W$2&lt;4,SUMIFS(РегСкидка!$C$3:$C$619,РегСкидка!$D$3:$D$619,INDEX('Доставка по областям'!$G$2:$G$90,'АКСИ ExW'!$R$5),РегСкидка!$B$3:$B$619,U51,РегСкидка!$E$3:$E$619,$W$7)/100*IF(OR($W$3=1,$W$3=2,$W$3=3,$W$3=4),1,0),0)</f>
        <v>0</v>
      </c>
      <c r="X51" s="953"/>
      <c r="Y51" s="1160"/>
      <c r="Z51" s="975"/>
    </row>
    <row r="52" spans="1:28" ht="22.5" hidden="1" customHeight="1" thickBot="1" x14ac:dyDescent="0.3">
      <c r="A52" s="889" t="s">
        <v>446</v>
      </c>
      <c r="B52" s="249">
        <v>1200</v>
      </c>
      <c r="C52" s="287">
        <v>600</v>
      </c>
      <c r="D52" s="288">
        <v>50</v>
      </c>
      <c r="E52" s="253" t="s">
        <v>447</v>
      </c>
      <c r="F52" s="604" t="s">
        <v>339</v>
      </c>
      <c r="G52" s="256">
        <v>222.22222222222223</v>
      </c>
      <c r="H52" s="259">
        <v>33.842321854017761</v>
      </c>
      <c r="I52" s="259"/>
      <c r="J52" s="224">
        <v>709.1712</v>
      </c>
      <c r="K52" s="131">
        <v>12</v>
      </c>
      <c r="L52" s="168">
        <f t="shared" si="0"/>
        <v>8.64</v>
      </c>
      <c r="M52" s="132">
        <f t="shared" si="1"/>
        <v>0.432</v>
      </c>
      <c r="N52" s="133">
        <v>16</v>
      </c>
      <c r="O52" s="132">
        <f t="shared" si="2"/>
        <v>6.9119999999999999</v>
      </c>
      <c r="P52" s="226">
        <f t="shared" si="3"/>
        <v>76.031999999999996</v>
      </c>
      <c r="Q52" s="132"/>
      <c r="R52" s="88">
        <f t="shared" si="4"/>
        <v>1194.48</v>
      </c>
      <c r="S52" s="786">
        <f>IFERROR(IF(OR($X$7="Завод 'ТЕХНО' г.Рязань",$X$7="Завод 'ТЕХНО' г.Заинск"),IF($X$7="Завод 'ТЕХНО' г.Рязань",'ЛАЙТ Рязань'!R67*(1-$Z$5-Z52)+IFERROR(SEARCH("комп",J52)/SEARCH("комп",J52)*#REF!,P$5),'ЛАЙТ Заинск'!R67*(1-$Z$5-Z52)+IFERROR(SEARCH("комп",J52)/SEARCH("комп",J52)*#REF!,P$5)),'ЛАЙТ Юрга'!R67*(1-$Z$5-Z52)+IFERROR(SEARCH("комп",J52)/SEARCH("комп",J52)*#REF!,P$5)),"нет")</f>
        <v>2765</v>
      </c>
      <c r="T52" s="101">
        <f t="shared" si="5"/>
        <v>138.25</v>
      </c>
      <c r="U52" s="745" t="s">
        <v>425</v>
      </c>
      <c r="W52" s="953">
        <f>IF($W$2&lt;4,SUMIFS(РегСкидка!$C$3:$C$619,РегСкидка!$D$3:$D$619,INDEX('Доставка по областям'!$G$2:$G$90,'АКСИ ExW'!$R$5),РегСкидка!$B$3:$B$619,U52,РегСкидка!$E$3:$E$619,$W$7)/100*IF(OR($W$3=1,$W$3=2,$W$3=3,$W$3=4),1,0),0)</f>
        <v>0</v>
      </c>
      <c r="Z52" s="975"/>
    </row>
    <row r="53" spans="1:28" ht="22.5" hidden="1" customHeight="1" thickBot="1" x14ac:dyDescent="0.3">
      <c r="A53" s="708"/>
      <c r="B53" s="203">
        <v>1200</v>
      </c>
      <c r="C53" s="204">
        <v>600</v>
      </c>
      <c r="D53" s="209">
        <v>50</v>
      </c>
      <c r="E53" s="254" t="s">
        <v>611</v>
      </c>
      <c r="F53" s="604" t="s">
        <v>339</v>
      </c>
      <c r="G53" s="205">
        <v>222.22222222222223</v>
      </c>
      <c r="H53" s="124">
        <v>32.150205761316876</v>
      </c>
      <c r="I53" s="124"/>
      <c r="J53" s="170">
        <v>746.49599999999998</v>
      </c>
      <c r="K53" s="125">
        <v>6</v>
      </c>
      <c r="L53" s="166">
        <f t="shared" si="0"/>
        <v>4.32</v>
      </c>
      <c r="M53" s="126">
        <f t="shared" si="1"/>
        <v>0.216</v>
      </c>
      <c r="N53" s="127">
        <v>32</v>
      </c>
      <c r="O53" s="172">
        <f t="shared" si="2"/>
        <v>6.9119999999999999</v>
      </c>
      <c r="P53" s="231">
        <f t="shared" si="3"/>
        <v>76.031999999999996</v>
      </c>
      <c r="Q53" s="126"/>
      <c r="R53" s="88">
        <f t="shared" si="4"/>
        <v>597.24</v>
      </c>
      <c r="S53" s="786">
        <f>IFERROR(IF(OR($X$7="Завод 'ТЕХНО' г.Рязань",$X$7="Завод 'ТЕХНО' г.Заинск"),IF($X$7="Завод 'ТЕХНО' г.Рязань",'ЛАЙТ Рязань'!R69*(1-$Z$5-Z53)+IFERROR(SEARCH("комп",J53)/SEARCH("комп",J53)*#REF!,P$5),'ЛАЙТ Заинск'!R68*(1-$Z$5-Z53)+IFERROR(SEARCH("комп",J53)/SEARCH("комп",J53)*#REF!,P$5)),'ЛАЙТ Юрга'!R68*(1-$Z$5-Z53)+IFERROR(SEARCH("комп",J53)/SEARCH("комп",J53)*#REF!,P$5)),"нет")</f>
        <v>2765</v>
      </c>
      <c r="T53" s="101">
        <f t="shared" si="5"/>
        <v>138.25</v>
      </c>
      <c r="U53" s="745" t="s">
        <v>425</v>
      </c>
      <c r="W53" s="953">
        <f>IF($W$2&lt;4,SUMIFS(РегСкидка!$C$3:$C$619,РегСкидка!$D$3:$D$619,INDEX('Доставка по областям'!$G$2:$G$90,'АКСИ ExW'!$R$5),РегСкидка!$B$3:$B$619,U53,РегСкидка!$E$3:$E$619,$W$7)/100*IF(OR($W$3=1,$W$3=2,$W$3=3,$W$3=4),1,0),0)</f>
        <v>0</v>
      </c>
      <c r="Z53" s="975"/>
    </row>
    <row r="54" spans="1:28" ht="22.5" hidden="1" customHeight="1" thickBot="1" x14ac:dyDescent="0.3">
      <c r="A54" s="890"/>
      <c r="B54" s="240">
        <v>1200</v>
      </c>
      <c r="C54" s="241">
        <v>600</v>
      </c>
      <c r="D54" s="242">
        <v>100</v>
      </c>
      <c r="E54" s="257" t="s">
        <v>448</v>
      </c>
      <c r="F54" s="604" t="s">
        <v>339</v>
      </c>
      <c r="G54" s="239">
        <v>222.22222222222223</v>
      </c>
      <c r="H54" s="258">
        <v>32.150205761316876</v>
      </c>
      <c r="I54" s="258"/>
      <c r="J54" s="262">
        <v>746.49599999999998</v>
      </c>
      <c r="K54" s="128">
        <v>6</v>
      </c>
      <c r="L54" s="167">
        <f t="shared" si="0"/>
        <v>4.32</v>
      </c>
      <c r="M54" s="129">
        <f t="shared" si="1"/>
        <v>0.432</v>
      </c>
      <c r="N54" s="130">
        <v>16</v>
      </c>
      <c r="O54" s="174">
        <f t="shared" si="2"/>
        <v>6.9119999999999999</v>
      </c>
      <c r="P54" s="260">
        <f t="shared" si="3"/>
        <v>76.031999999999996</v>
      </c>
      <c r="Q54" s="129"/>
      <c r="R54" s="479">
        <f t="shared" si="4"/>
        <v>1194.48</v>
      </c>
      <c r="S54" s="787">
        <f>IFERROR(IF(OR($X$7="Завод 'ТЕХНО' г.Рязань",$X$7="Завод 'ТЕХНО' г.Заинск"),IF($X$7="Завод 'ТЕХНО' г.Рязань",'ЛАЙТ Рязань'!R70*(1-$Z$5-Z54)+IFERROR(SEARCH("комп",J54)/SEARCH("комп",J54)*#REF!,P$5),'ЛАЙТ Заинск'!R70*(1-$Z$5-Z54)+IFERROR(SEARCH("комп",J54)/SEARCH("комп",J54)*#REF!,P$5)),'ЛАЙТ Юрга'!R70*(1-$Z$5-Z54)+IFERROR(SEARCH("комп",J54)/SEARCH("комп",J54)*#REF!,P$5)),"нет")</f>
        <v>2765</v>
      </c>
      <c r="T54" s="102">
        <f t="shared" si="5"/>
        <v>276.5</v>
      </c>
      <c r="U54" s="745" t="s">
        <v>425</v>
      </c>
      <c r="W54" s="953">
        <f>IF($W$2&lt;4,SUMIFS(РегСкидка!$C$3:$C$619,РегСкидка!$D$3:$D$619,INDEX('Доставка по областям'!$G$2:$G$90,'АКСИ ExW'!$R$5),РегСкидка!$B$3:$B$619,U54,РегСкидка!$E$3:$E$619,$W$7)/100*IF(OR($W$3=1,$W$3=2,$W$3=3,$W$3=4),1,0),0)</f>
        <v>0</v>
      </c>
      <c r="Z54" s="975"/>
    </row>
    <row r="55" spans="1:28" ht="20.100000000000001" customHeight="1" x14ac:dyDescent="0.25">
      <c r="A55" s="18"/>
      <c r="B55" s="134"/>
      <c r="C55" s="134"/>
      <c r="D55" s="134"/>
      <c r="E55" s="134"/>
      <c r="F55" s="134"/>
      <c r="G55" s="134"/>
      <c r="H55" s="134"/>
      <c r="I55" s="134"/>
      <c r="J55" s="165"/>
      <c r="K55" s="135"/>
      <c r="L55" s="134"/>
      <c r="M55" s="136"/>
      <c r="N55" s="135"/>
      <c r="O55" s="137"/>
      <c r="P55" s="134"/>
      <c r="Q55" s="261"/>
      <c r="R55" s="448"/>
      <c r="S55" s="448"/>
      <c r="T55" s="448"/>
    </row>
    <row r="56" spans="1:28" ht="18.75" customHeight="1" x14ac:dyDescent="0.25">
      <c r="A56" s="1" t="s">
        <v>7</v>
      </c>
      <c r="B56" s="91"/>
      <c r="C56" s="91"/>
      <c r="D56" s="91"/>
      <c r="E56" s="91"/>
      <c r="F56" s="91"/>
      <c r="G56" s="91"/>
      <c r="H56" s="91"/>
      <c r="I56" s="91"/>
      <c r="J56" s="91"/>
      <c r="K56" s="92"/>
      <c r="L56" s="91"/>
      <c r="M56" s="94"/>
      <c r="N56" s="92"/>
      <c r="O56" s="93"/>
      <c r="P56" s="1243" t="s">
        <v>21</v>
      </c>
      <c r="Q56" s="1243"/>
      <c r="R56" s="1243"/>
      <c r="S56" s="1243"/>
      <c r="T56" s="1243"/>
    </row>
    <row r="57" spans="1:28" s="32" customFormat="1" ht="20.100000000000001" customHeight="1" x14ac:dyDescent="0.25">
      <c r="A57" s="471" t="s">
        <v>423</v>
      </c>
      <c r="K57" s="33"/>
      <c r="M57" s="34"/>
      <c r="N57" s="33"/>
      <c r="O57" s="59"/>
      <c r="P57" s="1244" t="s">
        <v>40</v>
      </c>
      <c r="Q57" s="1244"/>
      <c r="R57" s="1244"/>
      <c r="S57" s="1244"/>
      <c r="T57" s="1244"/>
      <c r="U57" s="745"/>
      <c r="V57" s="953"/>
      <c r="W57" s="745"/>
      <c r="X57" s="974"/>
      <c r="Y57" s="975"/>
      <c r="Z57" s="974"/>
      <c r="AA57" s="82"/>
      <c r="AB57" s="2"/>
    </row>
    <row r="58" spans="1:28" ht="20.100000000000001" customHeight="1" x14ac:dyDescent="0.25">
      <c r="A58" s="26" t="s">
        <v>438</v>
      </c>
      <c r="P58" s="1244" t="s">
        <v>39</v>
      </c>
      <c r="Q58" s="1244"/>
      <c r="R58" s="1244"/>
      <c r="S58" s="1244"/>
      <c r="T58" s="1244"/>
    </row>
    <row r="59" spans="1:28" ht="20.100000000000001" customHeight="1" x14ac:dyDescent="0.25">
      <c r="A59" s="26" t="s">
        <v>24</v>
      </c>
      <c r="P59" s="1245" t="s">
        <v>37</v>
      </c>
      <c r="Q59" s="1245"/>
      <c r="R59" s="1245"/>
      <c r="S59" s="1245"/>
      <c r="T59" s="1245"/>
    </row>
    <row r="60" spans="1:28" ht="20.100000000000001" customHeight="1" x14ac:dyDescent="0.25">
      <c r="A60" s="26" t="s">
        <v>52</v>
      </c>
      <c r="R60" s="1245" t="s">
        <v>38</v>
      </c>
      <c r="S60" s="1245"/>
      <c r="T60" s="1245"/>
      <c r="U60" s="1029"/>
      <c r="X60" s="986"/>
    </row>
    <row r="61" spans="1:28" ht="20.100000000000001" customHeight="1" x14ac:dyDescent="0.25">
      <c r="A61" s="30" t="s">
        <v>541</v>
      </c>
      <c r="G61" s="4"/>
      <c r="J61" s="5"/>
      <c r="L61" s="56"/>
    </row>
    <row r="62" spans="1:28" s="974" customFormat="1" ht="20.100000000000001" customHeight="1" x14ac:dyDescent="0.25">
      <c r="A62" s="30" t="s">
        <v>542</v>
      </c>
      <c r="B62" s="2"/>
      <c r="C62" s="2"/>
      <c r="D62" s="2"/>
      <c r="E62" s="2"/>
      <c r="F62" s="2"/>
      <c r="G62" s="4"/>
      <c r="H62" s="2"/>
      <c r="I62" s="2"/>
      <c r="J62" s="5"/>
      <c r="K62" s="4"/>
      <c r="L62" s="56"/>
      <c r="M62" s="5"/>
      <c r="N62" s="4"/>
      <c r="O62" s="56"/>
      <c r="P62" s="2"/>
      <c r="Q62" s="5"/>
      <c r="R62" s="2"/>
      <c r="S62" s="2"/>
      <c r="T62" s="2"/>
      <c r="U62" s="745"/>
      <c r="V62" s="953"/>
      <c r="W62" s="745"/>
      <c r="Y62" s="975"/>
      <c r="AA62" s="82"/>
      <c r="AB62" s="2"/>
    </row>
    <row r="63" spans="1:28" s="974" customFormat="1" ht="20.100000000000001" customHeight="1" x14ac:dyDescent="0.25">
      <c r="A63" s="30" t="s">
        <v>612</v>
      </c>
      <c r="B63" s="2"/>
      <c r="C63" s="2"/>
      <c r="D63" s="2"/>
      <c r="E63" s="2"/>
      <c r="F63" s="2"/>
      <c r="G63" s="4"/>
      <c r="H63" s="2"/>
      <c r="I63" s="2"/>
      <c r="J63" s="5"/>
      <c r="K63" s="4"/>
      <c r="L63" s="56"/>
      <c r="M63" s="5"/>
      <c r="N63" s="4"/>
      <c r="O63" s="56"/>
      <c r="P63" s="2"/>
      <c r="Q63" s="5"/>
      <c r="R63" s="2"/>
      <c r="S63" s="2"/>
      <c r="T63" s="2"/>
      <c r="U63" s="745"/>
      <c r="V63" s="953"/>
      <c r="W63" s="745"/>
      <c r="Y63" s="975"/>
      <c r="AA63" s="82"/>
      <c r="AB63" s="2"/>
    </row>
    <row r="64" spans="1:28" s="974" customFormat="1" ht="20.100000000000001" customHeight="1" x14ac:dyDescent="0.25">
      <c r="A64" s="30"/>
      <c r="B64" s="2"/>
      <c r="C64" s="2"/>
      <c r="D64" s="2"/>
      <c r="E64" s="2"/>
      <c r="F64" s="2"/>
      <c r="G64" s="4"/>
      <c r="H64" s="2"/>
      <c r="I64" s="2"/>
      <c r="J64" s="5"/>
      <c r="K64" s="4"/>
      <c r="L64" s="56"/>
      <c r="M64" s="5"/>
      <c r="N64" s="4"/>
      <c r="O64" s="56"/>
      <c r="P64" s="2"/>
      <c r="Q64" s="5"/>
      <c r="R64" s="2"/>
      <c r="S64" s="2"/>
      <c r="T64" s="2"/>
      <c r="U64" s="745"/>
      <c r="V64" s="953"/>
      <c r="W64" s="745"/>
      <c r="Y64" s="975"/>
      <c r="AA64" s="82"/>
      <c r="AB64" s="2"/>
    </row>
    <row r="65" spans="1:28" s="974" customFormat="1" ht="20.100000000000001" customHeight="1" x14ac:dyDescent="0.25">
      <c r="A65" s="31"/>
      <c r="B65" s="2"/>
      <c r="C65" s="2"/>
      <c r="D65" s="2"/>
      <c r="E65" s="2"/>
      <c r="F65" s="2"/>
      <c r="G65" s="2"/>
      <c r="H65" s="2"/>
      <c r="I65" s="2"/>
      <c r="J65" s="2"/>
      <c r="K65" s="4"/>
      <c r="L65" s="2"/>
      <c r="M65" s="5"/>
      <c r="N65" s="4"/>
      <c r="O65" s="56"/>
      <c r="P65" s="2"/>
      <c r="Q65" s="5"/>
      <c r="R65" s="2"/>
      <c r="S65" s="2"/>
      <c r="T65" s="2"/>
      <c r="U65" s="745"/>
      <c r="V65" s="953"/>
      <c r="W65" s="745"/>
      <c r="Y65" s="975"/>
      <c r="AA65" s="82"/>
      <c r="AB65" s="2"/>
    </row>
    <row r="66" spans="1:28" s="974" customFormat="1" ht="20.100000000000001" customHeight="1" x14ac:dyDescent="0.25">
      <c r="A66" s="3"/>
      <c r="B66" s="2"/>
      <c r="C66" s="2"/>
      <c r="D66" s="2"/>
      <c r="E66" s="2"/>
      <c r="F66" s="2"/>
      <c r="G66" s="2"/>
      <c r="H66" s="2"/>
      <c r="I66" s="2"/>
      <c r="J66" s="2"/>
      <c r="K66" s="4"/>
      <c r="L66" s="2"/>
      <c r="M66" s="5"/>
      <c r="N66" s="4"/>
      <c r="O66" s="56"/>
      <c r="P66" s="2"/>
      <c r="Q66" s="5"/>
      <c r="R66" s="2"/>
      <c r="S66" s="2"/>
      <c r="T66" s="2"/>
      <c r="U66" s="745"/>
      <c r="V66" s="953"/>
      <c r="W66" s="745"/>
      <c r="Y66" s="975"/>
      <c r="AA66" s="82"/>
      <c r="AB66" s="2"/>
    </row>
    <row r="67" spans="1:28" s="974" customFormat="1" ht="19.5" customHeight="1" x14ac:dyDescent="0.25">
      <c r="A67" s="2"/>
      <c r="B67" s="2"/>
      <c r="C67" s="2"/>
      <c r="D67" s="2"/>
      <c r="E67" s="2"/>
      <c r="F67" s="2"/>
      <c r="G67" s="2"/>
      <c r="H67" s="2"/>
      <c r="I67" s="2"/>
      <c r="J67" s="2"/>
      <c r="K67" s="4"/>
      <c r="L67" s="2"/>
      <c r="M67" s="5"/>
      <c r="N67" s="4"/>
      <c r="O67" s="56"/>
      <c r="P67" s="2"/>
      <c r="Q67" s="5"/>
      <c r="R67" s="2"/>
      <c r="S67" s="2"/>
      <c r="T67" s="2"/>
      <c r="U67" s="745"/>
      <c r="V67" s="953"/>
      <c r="W67" s="745"/>
      <c r="Y67" s="975"/>
      <c r="AA67" s="82"/>
      <c r="AB67" s="2"/>
    </row>
    <row r="68" spans="1:28" s="974" customFormat="1" ht="20.100000000000001" customHeight="1" x14ac:dyDescent="0.25">
      <c r="A68" s="2"/>
      <c r="B68" s="2"/>
      <c r="C68" s="2"/>
      <c r="D68" s="2"/>
      <c r="E68" s="2"/>
      <c r="F68" s="2"/>
      <c r="G68" s="2"/>
      <c r="H68" s="2"/>
      <c r="I68" s="2"/>
      <c r="J68" s="2"/>
      <c r="K68" s="4"/>
      <c r="L68" s="2"/>
      <c r="M68" s="5"/>
      <c r="N68" s="4"/>
      <c r="O68" s="56"/>
      <c r="P68" s="2"/>
      <c r="Q68" s="5"/>
      <c r="R68" s="2"/>
      <c r="S68" s="2"/>
      <c r="T68" s="2"/>
      <c r="U68" s="745"/>
      <c r="V68" s="953"/>
      <c r="W68" s="745"/>
      <c r="Y68" s="975"/>
      <c r="AA68" s="82"/>
      <c r="AB68" s="2"/>
    </row>
    <row r="69" spans="1:28" s="974" customFormat="1" ht="20.100000000000001" customHeight="1" x14ac:dyDescent="0.25">
      <c r="A69" s="2"/>
      <c r="B69" s="2"/>
      <c r="C69" s="19"/>
      <c r="D69" s="20"/>
      <c r="E69" s="20"/>
      <c r="F69" s="20"/>
      <c r="G69" s="20"/>
      <c r="H69" s="20"/>
      <c r="I69" s="20"/>
      <c r="J69" s="20"/>
      <c r="K69" s="21"/>
      <c r="L69" s="20"/>
      <c r="M69" s="22"/>
      <c r="N69" s="69"/>
      <c r="O69" s="60"/>
      <c r="P69" s="20"/>
      <c r="Q69" s="22"/>
      <c r="R69" s="22"/>
      <c r="S69" s="22"/>
      <c r="T69" s="22"/>
      <c r="U69" s="745"/>
      <c r="V69" s="953"/>
      <c r="W69" s="745"/>
      <c r="Y69" s="975"/>
      <c r="AA69" s="82"/>
      <c r="AB69" s="2"/>
    </row>
    <row r="70" spans="1:28" s="974" customFormat="1" ht="20.100000000000001" customHeight="1" x14ac:dyDescent="0.25">
      <c r="A70" s="3"/>
      <c r="B70" s="2"/>
      <c r="C70" s="23"/>
      <c r="D70" s="20"/>
      <c r="E70" s="20"/>
      <c r="F70" s="20"/>
      <c r="G70" s="20"/>
      <c r="H70" s="20"/>
      <c r="I70" s="20"/>
      <c r="J70" s="20"/>
      <c r="K70" s="21"/>
      <c r="L70" s="20"/>
      <c r="M70" s="24"/>
      <c r="N70" s="70"/>
      <c r="O70" s="60"/>
      <c r="P70" s="20"/>
      <c r="Q70" s="24"/>
      <c r="R70" s="24"/>
      <c r="S70" s="24"/>
      <c r="T70" s="24"/>
      <c r="U70" s="745"/>
      <c r="V70" s="953"/>
      <c r="W70" s="745"/>
      <c r="Y70" s="975"/>
      <c r="AA70" s="82"/>
      <c r="AB70" s="2"/>
    </row>
    <row r="71" spans="1:28" s="974" customFormat="1" ht="20.100000000000001" customHeight="1" x14ac:dyDescent="0.25">
      <c r="A71" s="3"/>
      <c r="B71" s="2"/>
      <c r="C71" s="23"/>
      <c r="D71" s="20"/>
      <c r="E71" s="20"/>
      <c r="F71" s="20"/>
      <c r="G71" s="20"/>
      <c r="H71" s="20"/>
      <c r="I71" s="20"/>
      <c r="J71" s="20"/>
      <c r="K71" s="21"/>
      <c r="L71" s="20"/>
      <c r="M71" s="24"/>
      <c r="N71" s="70"/>
      <c r="O71" s="60"/>
      <c r="P71" s="20"/>
      <c r="Q71" s="24"/>
      <c r="R71" s="24"/>
      <c r="S71" s="24"/>
      <c r="T71" s="24"/>
      <c r="U71" s="745"/>
      <c r="V71" s="953"/>
      <c r="W71" s="745"/>
      <c r="Y71" s="975"/>
      <c r="AA71" s="82"/>
      <c r="AB71" s="2"/>
    </row>
    <row r="73" spans="1:28" s="974" customFormat="1" x14ac:dyDescent="0.25">
      <c r="A73" s="3"/>
      <c r="B73" s="25"/>
      <c r="C73" s="2"/>
      <c r="D73" s="2"/>
      <c r="E73" s="2"/>
      <c r="F73" s="2"/>
      <c r="G73" s="2"/>
      <c r="H73" s="2"/>
      <c r="I73" s="2"/>
      <c r="J73" s="2"/>
      <c r="K73" s="4"/>
      <c r="L73" s="2"/>
      <c r="M73" s="5"/>
      <c r="N73" s="4"/>
      <c r="O73" s="56"/>
      <c r="P73" s="2"/>
      <c r="Q73" s="5"/>
      <c r="R73" s="2"/>
      <c r="S73" s="2"/>
      <c r="T73" s="2"/>
      <c r="U73" s="745"/>
      <c r="V73" s="953"/>
      <c r="W73" s="745"/>
      <c r="Y73" s="975"/>
      <c r="AA73" s="82"/>
      <c r="AB73" s="2"/>
    </row>
  </sheetData>
  <sheetProtection selectLockedCells="1" selectUnlockedCells="1"/>
  <protectedRanges>
    <protectedRange sqref="A1:T4" name="Диапазон1"/>
  </protectedRanges>
  <mergeCells count="19">
    <mergeCell ref="P58:T58"/>
    <mergeCell ref="P59:T59"/>
    <mergeCell ref="R60:T60"/>
    <mergeCell ref="K6:M6"/>
    <mergeCell ref="N6:O6"/>
    <mergeCell ref="P6:Q6"/>
    <mergeCell ref="R6:T6"/>
    <mergeCell ref="P56:T56"/>
    <mergeCell ref="P57:T57"/>
    <mergeCell ref="B3:N3"/>
    <mergeCell ref="A6:A7"/>
    <mergeCell ref="B6:B7"/>
    <mergeCell ref="C6:C7"/>
    <mergeCell ref="D6:D7"/>
    <mergeCell ref="E6:E7"/>
    <mergeCell ref="F6:F7"/>
    <mergeCell ref="G6:G7"/>
    <mergeCell ref="I6:I7"/>
    <mergeCell ref="J6:J7"/>
  </mergeCells>
  <hyperlinks>
    <hyperlink ref="P59" r:id="rId1"/>
    <hyperlink ref="R60" r:id="rId2"/>
  </hyperlinks>
  <printOptions horizontalCentered="1"/>
  <pageMargins left="0.19685039370078741" right="0.19685039370078741" top="0.39370078740157483" bottom="0" header="0" footer="0"/>
  <pageSetup paperSize="9" scale="42" orientation="portrait" verticalDpi="1" r:id="rId3"/>
  <headerFooter alignWithMargins="0"/>
  <drawing r:id="rId4"/>
  <legacyDrawing r:id="rId5"/>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A73"/>
  <sheetViews>
    <sheetView showGridLines="0" tabSelected="1" view="pageBreakPreview" zoomScale="70" zoomScaleNormal="100" zoomScaleSheetLayoutView="70" workbookViewId="0">
      <pane xSplit="1" ySplit="7" topLeftCell="B8" activePane="bottomRight" state="frozen"/>
      <selection pane="topRight"/>
      <selection pane="bottomLeft"/>
      <selection pane="bottomRight" activeCell="E6" sqref="E6:E7"/>
    </sheetView>
  </sheetViews>
  <sheetFormatPr defaultColWidth="11.42578125" defaultRowHeight="18" x14ac:dyDescent="0.25"/>
  <cols>
    <col min="1" max="1" width="38.7109375" style="3" customWidth="1"/>
    <col min="2" max="2" width="9.7109375" style="2" customWidth="1"/>
    <col min="3" max="3" width="8.42578125" style="2" customWidth="1"/>
    <col min="4" max="4" width="9.7109375" style="2" customWidth="1"/>
    <col min="5" max="5" width="16.7109375" style="2" customWidth="1"/>
    <col min="6" max="6" width="6.140625" style="2" customWidth="1"/>
    <col min="7" max="8" width="10.85546875" style="2" hidden="1" customWidth="1"/>
    <col min="9" max="9" width="11.28515625" style="2" customWidth="1"/>
    <col min="10" max="10" width="13.28515625" style="2" hidden="1" customWidth="1"/>
    <col min="11" max="11" width="11.5703125" style="4" customWidth="1"/>
    <col min="12" max="12" width="11.5703125" style="2" customWidth="1"/>
    <col min="13" max="13" width="15" style="5" customWidth="1"/>
    <col min="14" max="14" width="11.85546875" style="4" customWidth="1"/>
    <col min="15" max="15" width="14.85546875" style="56" customWidth="1"/>
    <col min="16" max="16" width="15.140625" style="2" customWidth="1"/>
    <col min="17" max="17" width="12.5703125" style="5" customWidth="1"/>
    <col min="18" max="18" width="15.140625" style="2" customWidth="1"/>
    <col min="19" max="19" width="17.5703125" style="2" customWidth="1"/>
    <col min="20" max="20" width="14" style="2" customWidth="1"/>
    <col min="24" max="24" width="14" style="2" customWidth="1"/>
    <col min="25" max="25" width="14" style="745" customWidth="1"/>
    <col min="26" max="26" width="12.7109375" style="953" customWidth="1"/>
    <col min="27" max="29" width="11.42578125" style="2" customWidth="1"/>
    <col min="30" max="16384" width="11.42578125" style="2"/>
  </cols>
  <sheetData>
    <row r="1" spans="1:27" ht="26.25" x14ac:dyDescent="0.4">
      <c r="A1" s="903"/>
      <c r="B1" s="904"/>
      <c r="C1" s="904"/>
      <c r="D1" s="904"/>
      <c r="E1" s="904"/>
      <c r="F1" s="904"/>
      <c r="G1" s="904"/>
      <c r="H1" s="904"/>
      <c r="I1" s="904"/>
      <c r="J1" s="904"/>
      <c r="K1" s="905"/>
      <c r="L1" s="904"/>
      <c r="M1" s="906"/>
      <c r="N1" s="905"/>
      <c r="O1" s="1120"/>
      <c r="P1" s="1118"/>
      <c r="Q1" s="1119"/>
      <c r="R1" s="1118"/>
      <c r="S1" s="1118"/>
      <c r="T1" s="1118"/>
      <c r="X1" s="904"/>
      <c r="Y1" s="1012"/>
    </row>
    <row r="2" spans="1:27" s="27" customFormat="1" ht="26.25" x14ac:dyDescent="0.4">
      <c r="A2" s="903"/>
      <c r="B2" s="910"/>
      <c r="C2" s="910"/>
      <c r="D2" s="910"/>
      <c r="E2" s="910"/>
      <c r="F2" s="910"/>
      <c r="G2" s="910"/>
      <c r="H2" s="910"/>
      <c r="I2" s="910"/>
      <c r="J2" s="910"/>
      <c r="K2" s="911"/>
      <c r="L2" s="910"/>
      <c r="M2" s="912"/>
      <c r="N2" s="911"/>
      <c r="O2" s="913"/>
      <c r="P2" s="914"/>
      <c r="Q2" s="915"/>
      <c r="R2" s="914"/>
      <c r="S2" s="1121"/>
      <c r="T2" s="1121"/>
      <c r="X2" s="910"/>
      <c r="Y2" s="1013"/>
      <c r="Z2" s="1015"/>
    </row>
    <row r="3" spans="1:27" s="27" customFormat="1" ht="86.25" customHeight="1" x14ac:dyDescent="0.35">
      <c r="A3" s="916"/>
      <c r="B3" s="1358"/>
      <c r="C3" s="1358"/>
      <c r="D3" s="1358"/>
      <c r="E3" s="1358"/>
      <c r="F3" s="1358"/>
      <c r="G3" s="1358"/>
      <c r="H3" s="1358"/>
      <c r="I3" s="1358"/>
      <c r="J3" s="1358"/>
      <c r="K3" s="1358"/>
      <c r="L3" s="1358"/>
      <c r="M3" s="1358"/>
      <c r="N3" s="1358"/>
      <c r="O3" s="913"/>
      <c r="P3" s="914"/>
      <c r="Q3" s="915"/>
      <c r="R3" s="914"/>
      <c r="S3" s="1121"/>
      <c r="T3" s="1121"/>
      <c r="X3" s="910"/>
      <c r="Y3" s="1013"/>
      <c r="Z3" s="1016"/>
    </row>
    <row r="4" spans="1:27" ht="18" customHeight="1" x14ac:dyDescent="0.25">
      <c r="A4" s="1122"/>
      <c r="B4" s="1122"/>
      <c r="C4" s="1122"/>
      <c r="D4" s="1122"/>
      <c r="E4" s="1122"/>
      <c r="F4" s="1122"/>
      <c r="G4" s="1122"/>
      <c r="H4" s="1122"/>
      <c r="I4" s="1122"/>
      <c r="J4" s="1122"/>
      <c r="K4" s="1122"/>
      <c r="L4" s="1122"/>
      <c r="M4" s="1122"/>
      <c r="N4" s="1122"/>
      <c r="O4" s="1122"/>
      <c r="P4" s="1122"/>
      <c r="Q4" s="1122"/>
      <c r="R4" s="1122"/>
      <c r="S4" s="1122"/>
      <c r="T4" s="1122"/>
      <c r="X4" s="988"/>
      <c r="Y4" s="1017"/>
    </row>
    <row r="5" spans="1:27" s="3" customFormat="1" ht="18.75" thickBot="1" x14ac:dyDescent="0.3">
      <c r="A5" s="1123"/>
      <c r="B5" s="1123"/>
      <c r="C5" s="1123"/>
      <c r="D5" s="1123"/>
      <c r="E5" s="1124"/>
      <c r="F5" s="1123"/>
      <c r="G5" s="1123"/>
      <c r="H5" s="1123"/>
      <c r="I5" s="1123"/>
      <c r="J5" s="1123"/>
      <c r="K5" s="1123"/>
      <c r="L5" s="1123"/>
      <c r="M5" s="1123"/>
      <c r="N5" s="1125"/>
      <c r="O5" s="1125"/>
      <c r="P5" s="1126"/>
      <c r="Q5" s="1123"/>
      <c r="R5" s="1126"/>
      <c r="S5" s="1123"/>
      <c r="T5" s="1127"/>
      <c r="X5" s="552"/>
      <c r="Y5" s="1018"/>
      <c r="Z5" s="1019"/>
    </row>
    <row r="6" spans="1:27" ht="72.75" customHeight="1" thickBot="1" x14ac:dyDescent="0.3">
      <c r="A6" s="1359"/>
      <c r="B6" s="1360"/>
      <c r="C6" s="1361"/>
      <c r="D6" s="1362"/>
      <c r="E6" s="1363"/>
      <c r="F6" s="1261"/>
      <c r="G6" s="1261"/>
      <c r="H6" s="1092"/>
      <c r="I6" s="1261"/>
      <c r="J6" s="1261"/>
      <c r="K6" s="1364"/>
      <c r="L6" s="1365"/>
      <c r="M6" s="1366"/>
      <c r="N6" s="1367"/>
      <c r="O6" s="1368"/>
      <c r="P6" s="1369"/>
      <c r="Q6" s="1370"/>
      <c r="R6" s="1364"/>
      <c r="S6" s="1365"/>
      <c r="T6" s="1366"/>
      <c r="X6" s="989"/>
      <c r="Y6" s="1020"/>
    </row>
    <row r="7" spans="1:27" ht="54.75" customHeight="1" thickBot="1" x14ac:dyDescent="0.3">
      <c r="A7" s="1251"/>
      <c r="B7" s="1253"/>
      <c r="C7" s="1255"/>
      <c r="D7" s="1257"/>
      <c r="E7" s="1259"/>
      <c r="F7" s="1261"/>
      <c r="G7" s="1262"/>
      <c r="H7" s="918"/>
      <c r="I7" s="1263"/>
      <c r="J7" s="1263"/>
      <c r="K7" s="43"/>
      <c r="L7" s="54"/>
      <c r="M7" s="64"/>
      <c r="N7" s="461"/>
      <c r="O7" s="462"/>
      <c r="P7" s="449"/>
      <c r="Q7" s="447"/>
      <c r="R7" s="922"/>
      <c r="S7" s="923"/>
      <c r="T7" s="470"/>
      <c r="U7" s="1150"/>
      <c r="V7" s="1151"/>
      <c r="W7" s="1150"/>
      <c r="X7" s="1150"/>
      <c r="Y7" s="1151"/>
      <c r="Z7" s="1151"/>
      <c r="AA7" s="1152"/>
    </row>
    <row r="8" spans="1:27" ht="22.5" customHeight="1" thickBot="1" x14ac:dyDescent="0.3">
      <c r="A8" s="926"/>
      <c r="B8" s="203"/>
      <c r="C8" s="204"/>
      <c r="D8" s="209"/>
      <c r="E8" s="987"/>
      <c r="F8" s="604"/>
      <c r="G8" s="205"/>
      <c r="H8" s="124"/>
      <c r="I8" s="591"/>
      <c r="J8" s="170"/>
      <c r="K8" s="125"/>
      <c r="L8" s="166"/>
      <c r="M8" s="126"/>
      <c r="N8" s="127"/>
      <c r="O8" s="172"/>
      <c r="P8" s="231"/>
      <c r="Q8" s="126"/>
      <c r="R8" s="88"/>
      <c r="S8" s="786"/>
      <c r="T8" s="101"/>
      <c r="U8" s="1158"/>
      <c r="V8" s="1153"/>
      <c r="W8" s="1159"/>
      <c r="X8" s="1154"/>
      <c r="Y8" s="1155"/>
      <c r="Z8" s="1156"/>
      <c r="AA8" s="1157"/>
    </row>
    <row r="9" spans="1:27" ht="22.5" customHeight="1" thickBot="1" x14ac:dyDescent="0.3">
      <c r="A9" s="708"/>
      <c r="B9" s="203"/>
      <c r="C9" s="204"/>
      <c r="D9" s="209"/>
      <c r="E9" s="254"/>
      <c r="F9" s="604"/>
      <c r="G9" s="205"/>
      <c r="H9" s="124"/>
      <c r="I9" s="591"/>
      <c r="J9" s="170"/>
      <c r="K9" s="125"/>
      <c r="L9" s="166"/>
      <c r="M9" s="126"/>
      <c r="N9" s="127"/>
      <c r="O9" s="172"/>
      <c r="P9" s="231"/>
      <c r="Q9" s="126"/>
      <c r="R9" s="88"/>
      <c r="S9" s="786"/>
      <c r="T9" s="101"/>
      <c r="U9" s="1158"/>
      <c r="V9" s="1153"/>
      <c r="W9" s="1159"/>
      <c r="X9" s="1154"/>
      <c r="Y9" s="1155"/>
      <c r="Z9" s="1156"/>
      <c r="AA9" s="1157"/>
    </row>
    <row r="10" spans="1:27" ht="22.5" customHeight="1" thickBot="1" x14ac:dyDescent="0.3">
      <c r="A10" s="708"/>
      <c r="B10" s="203"/>
      <c r="C10" s="204"/>
      <c r="D10" s="209"/>
      <c r="E10" s="254"/>
      <c r="F10" s="604"/>
      <c r="G10" s="205"/>
      <c r="H10" s="124"/>
      <c r="I10" s="591"/>
      <c r="J10" s="170"/>
      <c r="K10" s="125"/>
      <c r="L10" s="166"/>
      <c r="M10" s="126"/>
      <c r="N10" s="127"/>
      <c r="O10" s="172"/>
      <c r="P10" s="231"/>
      <c r="Q10" s="126"/>
      <c r="R10" s="88"/>
      <c r="S10" s="786"/>
      <c r="T10" s="101"/>
      <c r="U10" s="1158"/>
      <c r="V10" s="1153"/>
      <c r="W10" s="1159"/>
      <c r="X10" s="1154"/>
      <c r="Y10" s="1155"/>
      <c r="Z10" s="1156"/>
      <c r="AA10" s="1157"/>
    </row>
    <row r="11" spans="1:27" ht="22.5" customHeight="1" thickBot="1" x14ac:dyDescent="0.3">
      <c r="A11" s="708"/>
      <c r="B11" s="203"/>
      <c r="C11" s="204"/>
      <c r="D11" s="209"/>
      <c r="E11" s="254"/>
      <c r="F11" s="604"/>
      <c r="G11" s="205"/>
      <c r="H11" s="124"/>
      <c r="I11" s="591"/>
      <c r="J11" s="170"/>
      <c r="K11" s="125"/>
      <c r="L11" s="166"/>
      <c r="M11" s="126"/>
      <c r="N11" s="127"/>
      <c r="O11" s="172"/>
      <c r="P11" s="231"/>
      <c r="Q11" s="126"/>
      <c r="R11" s="88"/>
      <c r="S11" s="786"/>
      <c r="T11" s="101"/>
      <c r="U11" s="1158"/>
      <c r="V11" s="1153"/>
      <c r="W11" s="1159"/>
      <c r="X11" s="1154"/>
      <c r="Y11" s="1155"/>
      <c r="Z11" s="1156"/>
      <c r="AA11" s="1157"/>
    </row>
    <row r="12" spans="1:27" ht="22.5" customHeight="1" thickBot="1" x14ac:dyDescent="0.3">
      <c r="A12" s="708"/>
      <c r="B12" s="203"/>
      <c r="C12" s="204"/>
      <c r="D12" s="209"/>
      <c r="E12" s="254"/>
      <c r="F12" s="604"/>
      <c r="G12" s="205"/>
      <c r="H12" s="124"/>
      <c r="I12" s="591"/>
      <c r="J12" s="170"/>
      <c r="K12" s="125"/>
      <c r="L12" s="166"/>
      <c r="M12" s="126"/>
      <c r="N12" s="127"/>
      <c r="O12" s="172"/>
      <c r="P12" s="231"/>
      <c r="Q12" s="126"/>
      <c r="R12" s="88"/>
      <c r="S12" s="786"/>
      <c r="T12" s="101"/>
      <c r="U12" s="1158"/>
      <c r="V12" s="1153"/>
      <c r="W12" s="1159"/>
      <c r="X12" s="1154"/>
      <c r="Y12" s="1155"/>
      <c r="Z12" s="1156"/>
      <c r="AA12" s="1157"/>
    </row>
    <row r="13" spans="1:27" ht="22.5" customHeight="1" thickBot="1" x14ac:dyDescent="0.3">
      <c r="A13" s="708"/>
      <c r="B13" s="203"/>
      <c r="C13" s="204"/>
      <c r="D13" s="209"/>
      <c r="E13" s="254"/>
      <c r="F13" s="604"/>
      <c r="G13" s="205"/>
      <c r="H13" s="124"/>
      <c r="I13" s="591"/>
      <c r="J13" s="170"/>
      <c r="K13" s="125"/>
      <c r="L13" s="166"/>
      <c r="M13" s="126"/>
      <c r="N13" s="127"/>
      <c r="O13" s="172"/>
      <c r="P13" s="231"/>
      <c r="Q13" s="126"/>
      <c r="R13" s="88"/>
      <c r="S13" s="786"/>
      <c r="T13" s="101"/>
      <c r="U13" s="1158"/>
      <c r="V13" s="1153"/>
      <c r="W13" s="1159"/>
      <c r="X13" s="1154"/>
      <c r="Y13" s="1155"/>
      <c r="Z13" s="1156"/>
      <c r="AA13" s="1157"/>
    </row>
    <row r="14" spans="1:27" ht="22.5" customHeight="1" thickBot="1" x14ac:dyDescent="0.3">
      <c r="A14" s="708"/>
      <c r="B14" s="203"/>
      <c r="C14" s="204"/>
      <c r="D14" s="209"/>
      <c r="E14" s="254"/>
      <c r="F14" s="604"/>
      <c r="G14" s="205"/>
      <c r="H14" s="124"/>
      <c r="I14" s="591"/>
      <c r="J14" s="170"/>
      <c r="K14" s="125"/>
      <c r="L14" s="166"/>
      <c r="M14" s="126"/>
      <c r="N14" s="127"/>
      <c r="O14" s="172"/>
      <c r="P14" s="231"/>
      <c r="Q14" s="126"/>
      <c r="R14" s="88"/>
      <c r="S14" s="786"/>
      <c r="T14" s="101"/>
      <c r="U14" s="1158"/>
      <c r="V14" s="1153"/>
      <c r="W14" s="1159"/>
      <c r="X14" s="1154"/>
      <c r="Y14" s="1155"/>
      <c r="Z14" s="1156"/>
      <c r="AA14" s="1157"/>
    </row>
    <row r="15" spans="1:27" ht="22.5" customHeight="1" thickBot="1" x14ac:dyDescent="0.3">
      <c r="A15" s="708"/>
      <c r="B15" s="203"/>
      <c r="C15" s="204"/>
      <c r="D15" s="209"/>
      <c r="E15" s="254"/>
      <c r="F15" s="604"/>
      <c r="G15" s="205"/>
      <c r="H15" s="124"/>
      <c r="I15" s="591"/>
      <c r="J15" s="170"/>
      <c r="K15" s="125"/>
      <c r="L15" s="166"/>
      <c r="M15" s="126"/>
      <c r="N15" s="127"/>
      <c r="O15" s="172"/>
      <c r="P15" s="231"/>
      <c r="Q15" s="126"/>
      <c r="R15" s="88"/>
      <c r="S15" s="786"/>
      <c r="T15" s="101"/>
      <c r="U15" s="1158"/>
      <c r="V15" s="1153"/>
      <c r="W15" s="1159"/>
      <c r="X15" s="1154"/>
      <c r="Y15" s="1155"/>
      <c r="Z15" s="1156"/>
      <c r="AA15" s="1157"/>
    </row>
    <row r="16" spans="1:27" ht="22.5" customHeight="1" thickBot="1" x14ac:dyDescent="0.3">
      <c r="A16" s="708"/>
      <c r="B16" s="203"/>
      <c r="C16" s="204"/>
      <c r="D16" s="209"/>
      <c r="E16" s="254"/>
      <c r="F16" s="604"/>
      <c r="G16" s="205"/>
      <c r="H16" s="124"/>
      <c r="I16" s="591"/>
      <c r="J16" s="170"/>
      <c r="K16" s="125"/>
      <c r="L16" s="166"/>
      <c r="M16" s="126"/>
      <c r="N16" s="127"/>
      <c r="O16" s="172"/>
      <c r="P16" s="231"/>
      <c r="Q16" s="126"/>
      <c r="R16" s="88"/>
      <c r="S16" s="786"/>
      <c r="T16" s="101"/>
      <c r="U16" s="1158"/>
      <c r="V16" s="1153"/>
      <c r="W16" s="1159"/>
      <c r="X16" s="1154"/>
      <c r="Y16" s="1155"/>
      <c r="Z16" s="1156"/>
      <c r="AA16" s="1157"/>
    </row>
    <row r="17" spans="1:27" ht="22.5" customHeight="1" thickBot="1" x14ac:dyDescent="0.3">
      <c r="A17" s="708"/>
      <c r="B17" s="203"/>
      <c r="C17" s="204"/>
      <c r="D17" s="209"/>
      <c r="E17" s="254"/>
      <c r="F17" s="604"/>
      <c r="G17" s="205"/>
      <c r="H17" s="124"/>
      <c r="I17" s="591"/>
      <c r="J17" s="170"/>
      <c r="K17" s="125"/>
      <c r="L17" s="166"/>
      <c r="M17" s="126"/>
      <c r="N17" s="127"/>
      <c r="O17" s="172"/>
      <c r="P17" s="231"/>
      <c r="Q17" s="126"/>
      <c r="R17" s="88"/>
      <c r="S17" s="786"/>
      <c r="T17" s="101"/>
      <c r="U17" s="1158"/>
      <c r="V17" s="1153"/>
      <c r="W17" s="1159"/>
      <c r="X17" s="1154"/>
      <c r="Y17" s="1155"/>
      <c r="Z17" s="1156"/>
      <c r="AA17" s="1157"/>
    </row>
    <row r="18" spans="1:27" ht="22.5" customHeight="1" thickBot="1" x14ac:dyDescent="0.3">
      <c r="A18" s="890"/>
      <c r="B18" s="240"/>
      <c r="C18" s="241"/>
      <c r="D18" s="242"/>
      <c r="E18" s="257"/>
      <c r="F18" s="604"/>
      <c r="G18" s="239"/>
      <c r="H18" s="258"/>
      <c r="I18" s="662"/>
      <c r="J18" s="262"/>
      <c r="K18" s="128"/>
      <c r="L18" s="167"/>
      <c r="M18" s="129"/>
      <c r="N18" s="130"/>
      <c r="O18" s="895"/>
      <c r="P18" s="260"/>
      <c r="Q18" s="129"/>
      <c r="R18" s="614"/>
      <c r="S18" s="787"/>
      <c r="T18" s="615"/>
      <c r="U18" s="1158"/>
      <c r="V18" s="1153"/>
      <c r="W18" s="1159"/>
      <c r="X18" s="1154"/>
      <c r="Y18" s="1155"/>
      <c r="Z18" s="1156"/>
      <c r="AA18" s="1157"/>
    </row>
    <row r="19" spans="1:27" ht="22.5" customHeight="1" thickBot="1" x14ac:dyDescent="0.3">
      <c r="A19" s="926"/>
      <c r="B19" s="203"/>
      <c r="C19" s="204"/>
      <c r="D19" s="209"/>
      <c r="E19" s="987"/>
      <c r="F19" s="604"/>
      <c r="G19" s="205"/>
      <c r="H19" s="124"/>
      <c r="I19" s="1187"/>
      <c r="J19" s="170"/>
      <c r="K19" s="125"/>
      <c r="L19" s="166"/>
      <c r="M19" s="126"/>
      <c r="N19" s="127"/>
      <c r="O19" s="172"/>
      <c r="P19" s="231"/>
      <c r="Q19" s="126"/>
      <c r="R19" s="88"/>
      <c r="S19" s="786"/>
      <c r="T19" s="101"/>
      <c r="U19" s="1158"/>
      <c r="V19" s="1153"/>
      <c r="W19" s="1159"/>
      <c r="X19" s="1154"/>
      <c r="Y19" s="1155"/>
      <c r="Z19" s="1156"/>
      <c r="AA19" s="1157"/>
    </row>
    <row r="20" spans="1:27" ht="22.5" customHeight="1" thickBot="1" x14ac:dyDescent="0.3">
      <c r="A20" s="708"/>
      <c r="B20" s="203"/>
      <c r="C20" s="204"/>
      <c r="D20" s="209"/>
      <c r="E20" s="254"/>
      <c r="F20" s="604"/>
      <c r="G20" s="205"/>
      <c r="H20" s="124"/>
      <c r="I20" s="591"/>
      <c r="J20" s="170"/>
      <c r="K20" s="125"/>
      <c r="L20" s="166"/>
      <c r="M20" s="126"/>
      <c r="N20" s="127"/>
      <c r="O20" s="172"/>
      <c r="P20" s="231"/>
      <c r="Q20" s="126"/>
      <c r="R20" s="88"/>
      <c r="S20" s="786"/>
      <c r="T20" s="101"/>
      <c r="U20" s="1158"/>
      <c r="V20" s="1153"/>
      <c r="W20" s="1159"/>
      <c r="X20" s="1154"/>
      <c r="Y20" s="1155"/>
      <c r="Z20" s="1156"/>
      <c r="AA20" s="1157"/>
    </row>
    <row r="21" spans="1:27" ht="22.5" customHeight="1" thickBot="1" x14ac:dyDescent="0.3">
      <c r="A21" s="708"/>
      <c r="B21" s="203"/>
      <c r="C21" s="204"/>
      <c r="D21" s="209"/>
      <c r="E21" s="254"/>
      <c r="F21" s="604"/>
      <c r="G21" s="205"/>
      <c r="H21" s="124"/>
      <c r="I21" s="591"/>
      <c r="J21" s="170"/>
      <c r="K21" s="125"/>
      <c r="L21" s="166"/>
      <c r="M21" s="126"/>
      <c r="N21" s="127"/>
      <c r="O21" s="172"/>
      <c r="P21" s="231"/>
      <c r="Q21" s="126"/>
      <c r="R21" s="88"/>
      <c r="S21" s="786"/>
      <c r="T21" s="101"/>
      <c r="U21" s="1158"/>
      <c r="V21" s="1153"/>
      <c r="W21" s="1159"/>
      <c r="X21" s="1154"/>
      <c r="Y21" s="1155"/>
      <c r="Z21" s="1156"/>
      <c r="AA21" s="1157"/>
    </row>
    <row r="22" spans="1:27" ht="22.5" customHeight="1" thickBot="1" x14ac:dyDescent="0.3">
      <c r="A22" s="708"/>
      <c r="B22" s="203"/>
      <c r="C22" s="204"/>
      <c r="D22" s="209"/>
      <c r="E22" s="254"/>
      <c r="F22" s="604"/>
      <c r="G22" s="205"/>
      <c r="H22" s="124"/>
      <c r="I22" s="591"/>
      <c r="J22" s="170"/>
      <c r="K22" s="125"/>
      <c r="L22" s="166"/>
      <c r="M22" s="126"/>
      <c r="N22" s="127"/>
      <c r="O22" s="172"/>
      <c r="P22" s="231"/>
      <c r="Q22" s="126"/>
      <c r="R22" s="88"/>
      <c r="S22" s="786"/>
      <c r="T22" s="101"/>
      <c r="U22" s="1158"/>
      <c r="V22" s="1153"/>
      <c r="W22" s="1159"/>
      <c r="X22" s="1154"/>
      <c r="Y22" s="1155"/>
      <c r="Z22" s="1156"/>
      <c r="AA22" s="1157"/>
    </row>
    <row r="23" spans="1:27" ht="22.5" customHeight="1" thickBot="1" x14ac:dyDescent="0.3">
      <c r="A23" s="708"/>
      <c r="B23" s="203"/>
      <c r="C23" s="204"/>
      <c r="D23" s="209"/>
      <c r="E23" s="254"/>
      <c r="F23" s="604"/>
      <c r="G23" s="205"/>
      <c r="H23" s="124"/>
      <c r="I23" s="591"/>
      <c r="J23" s="170"/>
      <c r="K23" s="125"/>
      <c r="L23" s="166"/>
      <c r="M23" s="126"/>
      <c r="N23" s="127"/>
      <c r="O23" s="172"/>
      <c r="P23" s="231"/>
      <c r="Q23" s="126"/>
      <c r="R23" s="88"/>
      <c r="S23" s="786"/>
      <c r="T23" s="101"/>
      <c r="U23" s="1158"/>
      <c r="V23" s="1153"/>
      <c r="W23" s="1159"/>
      <c r="X23" s="1154"/>
      <c r="Y23" s="1155"/>
      <c r="Z23" s="1156"/>
      <c r="AA23" s="1157"/>
    </row>
    <row r="24" spans="1:27" ht="22.5" customHeight="1" thickBot="1" x14ac:dyDescent="0.3">
      <c r="A24" s="708"/>
      <c r="B24" s="203"/>
      <c r="C24" s="204"/>
      <c r="D24" s="209"/>
      <c r="E24" s="254"/>
      <c r="F24" s="604"/>
      <c r="G24" s="205"/>
      <c r="H24" s="124"/>
      <c r="I24" s="591"/>
      <c r="J24" s="170"/>
      <c r="K24" s="125"/>
      <c r="L24" s="166"/>
      <c r="M24" s="126"/>
      <c r="N24" s="127"/>
      <c r="O24" s="172"/>
      <c r="P24" s="231"/>
      <c r="Q24" s="126"/>
      <c r="R24" s="88"/>
      <c r="S24" s="786"/>
      <c r="T24" s="101"/>
      <c r="U24" s="1158"/>
      <c r="V24" s="1153"/>
      <c r="W24" s="1159"/>
      <c r="X24" s="1154"/>
      <c r="Y24" s="1155"/>
      <c r="Z24" s="1156"/>
      <c r="AA24" s="1157"/>
    </row>
    <row r="25" spans="1:27" ht="22.5" customHeight="1" thickBot="1" x14ac:dyDescent="0.3">
      <c r="A25" s="708"/>
      <c r="B25" s="203"/>
      <c r="C25" s="204"/>
      <c r="D25" s="209"/>
      <c r="E25" s="254"/>
      <c r="F25" s="604"/>
      <c r="G25" s="205"/>
      <c r="H25" s="124"/>
      <c r="I25" s="591"/>
      <c r="J25" s="170"/>
      <c r="K25" s="125"/>
      <c r="L25" s="166"/>
      <c r="M25" s="126"/>
      <c r="N25" s="127"/>
      <c r="O25" s="172"/>
      <c r="P25" s="231"/>
      <c r="Q25" s="126"/>
      <c r="R25" s="88"/>
      <c r="S25" s="786"/>
      <c r="T25" s="101"/>
      <c r="U25" s="1158"/>
      <c r="V25" s="1153"/>
      <c r="W25" s="1159"/>
      <c r="X25" s="1154"/>
      <c r="Y25" s="1155"/>
      <c r="Z25" s="1156"/>
      <c r="AA25" s="1157"/>
    </row>
    <row r="26" spans="1:27" ht="22.5" customHeight="1" thickBot="1" x14ac:dyDescent="0.3">
      <c r="A26" s="708"/>
      <c r="B26" s="203"/>
      <c r="C26" s="204"/>
      <c r="D26" s="209"/>
      <c r="E26" s="254"/>
      <c r="F26" s="604"/>
      <c r="G26" s="205"/>
      <c r="H26" s="124"/>
      <c r="I26" s="591"/>
      <c r="J26" s="170"/>
      <c r="K26" s="125"/>
      <c r="L26" s="166"/>
      <c r="M26" s="126"/>
      <c r="N26" s="127"/>
      <c r="O26" s="172"/>
      <c r="P26" s="231"/>
      <c r="Q26" s="126"/>
      <c r="R26" s="88"/>
      <c r="S26" s="786"/>
      <c r="T26" s="101"/>
      <c r="U26" s="1158"/>
      <c r="V26" s="1153"/>
      <c r="W26" s="1159"/>
      <c r="X26" s="1154"/>
      <c r="Y26" s="1155"/>
      <c r="Z26" s="1156"/>
      <c r="AA26" s="1157"/>
    </row>
    <row r="27" spans="1:27" ht="22.5" customHeight="1" thickBot="1" x14ac:dyDescent="0.3">
      <c r="A27" s="708"/>
      <c r="B27" s="203"/>
      <c r="C27" s="204"/>
      <c r="D27" s="209"/>
      <c r="E27" s="254"/>
      <c r="F27" s="604"/>
      <c r="G27" s="205"/>
      <c r="H27" s="124"/>
      <c r="I27" s="591"/>
      <c r="J27" s="170"/>
      <c r="K27" s="125"/>
      <c r="L27" s="166"/>
      <c r="M27" s="126"/>
      <c r="N27" s="127"/>
      <c r="O27" s="172"/>
      <c r="P27" s="231"/>
      <c r="Q27" s="126"/>
      <c r="R27" s="88"/>
      <c r="S27" s="786"/>
      <c r="T27" s="101"/>
      <c r="U27" s="1158"/>
      <c r="V27" s="1153"/>
      <c r="W27" s="1159"/>
      <c r="X27" s="1154"/>
      <c r="Y27" s="1155"/>
      <c r="Z27" s="1156"/>
      <c r="AA27" s="1157"/>
    </row>
    <row r="28" spans="1:27" ht="22.5" customHeight="1" thickBot="1" x14ac:dyDescent="0.3">
      <c r="A28" s="708"/>
      <c r="B28" s="203"/>
      <c r="C28" s="204"/>
      <c r="D28" s="209"/>
      <c r="E28" s="254"/>
      <c r="F28" s="604"/>
      <c r="G28" s="205"/>
      <c r="H28" s="124"/>
      <c r="I28" s="591"/>
      <c r="J28" s="170"/>
      <c r="K28" s="125"/>
      <c r="L28" s="166"/>
      <c r="M28" s="126"/>
      <c r="N28" s="127"/>
      <c r="O28" s="172"/>
      <c r="P28" s="231"/>
      <c r="Q28" s="126"/>
      <c r="R28" s="88"/>
      <c r="S28" s="786"/>
      <c r="T28" s="101"/>
      <c r="U28" s="1158"/>
      <c r="V28" s="1153"/>
      <c r="W28" s="1159"/>
      <c r="X28" s="1154"/>
      <c r="Y28" s="1155"/>
      <c r="Z28" s="1156"/>
      <c r="AA28" s="1157"/>
    </row>
    <row r="29" spans="1:27" ht="22.5" customHeight="1" thickBot="1" x14ac:dyDescent="0.3">
      <c r="A29" s="890"/>
      <c r="B29" s="240"/>
      <c r="C29" s="241"/>
      <c r="D29" s="242"/>
      <c r="E29" s="257"/>
      <c r="F29" s="604"/>
      <c r="G29" s="239"/>
      <c r="H29" s="258"/>
      <c r="I29" s="662"/>
      <c r="J29" s="262"/>
      <c r="K29" s="128"/>
      <c r="L29" s="167"/>
      <c r="M29" s="129"/>
      <c r="N29" s="130"/>
      <c r="O29" s="895"/>
      <c r="P29" s="260"/>
      <c r="Q29" s="129"/>
      <c r="R29" s="614"/>
      <c r="S29" s="787"/>
      <c r="T29" s="615"/>
      <c r="U29" s="1158"/>
      <c r="V29" s="1153"/>
      <c r="W29" s="1159"/>
      <c r="X29" s="1154"/>
      <c r="Y29" s="1155"/>
      <c r="Z29" s="1156"/>
      <c r="AA29" s="1157"/>
    </row>
    <row r="30" spans="1:27" ht="22.5" customHeight="1" thickBot="1" x14ac:dyDescent="0.3">
      <c r="A30" s="926"/>
      <c r="B30" s="203"/>
      <c r="C30" s="204"/>
      <c r="D30" s="209"/>
      <c r="E30" s="987"/>
      <c r="F30" s="604"/>
      <c r="G30" s="205"/>
      <c r="H30" s="124"/>
      <c r="I30" s="1187"/>
      <c r="J30" s="170"/>
      <c r="K30" s="125"/>
      <c r="L30" s="166"/>
      <c r="M30" s="126"/>
      <c r="N30" s="127"/>
      <c r="O30" s="172"/>
      <c r="P30" s="231"/>
      <c r="Q30" s="126"/>
      <c r="R30" s="88"/>
      <c r="S30" s="786"/>
      <c r="T30" s="101"/>
      <c r="U30" s="1158"/>
      <c r="V30" s="1153"/>
      <c r="W30" s="1159"/>
      <c r="X30" s="1154"/>
      <c r="Y30" s="1155"/>
      <c r="Z30" s="1156"/>
      <c r="AA30" s="1157"/>
    </row>
    <row r="31" spans="1:27" ht="22.5" customHeight="1" thickBot="1" x14ac:dyDescent="0.3">
      <c r="A31" s="708"/>
      <c r="B31" s="203"/>
      <c r="C31" s="204"/>
      <c r="D31" s="209"/>
      <c r="E31" s="254"/>
      <c r="F31" s="604"/>
      <c r="G31" s="205"/>
      <c r="H31" s="124"/>
      <c r="I31" s="591"/>
      <c r="J31" s="170"/>
      <c r="K31" s="125"/>
      <c r="L31" s="166"/>
      <c r="M31" s="126"/>
      <c r="N31" s="127"/>
      <c r="O31" s="172"/>
      <c r="P31" s="231"/>
      <c r="Q31" s="126"/>
      <c r="R31" s="88"/>
      <c r="S31" s="786"/>
      <c r="T31" s="101"/>
      <c r="U31" s="1158"/>
      <c r="V31" s="1153"/>
      <c r="W31" s="1159"/>
      <c r="X31" s="1154"/>
      <c r="Y31" s="1155"/>
      <c r="Z31" s="1156"/>
      <c r="AA31" s="1157"/>
    </row>
    <row r="32" spans="1:27" ht="22.5" customHeight="1" thickBot="1" x14ac:dyDescent="0.3">
      <c r="A32" s="708"/>
      <c r="B32" s="203"/>
      <c r="C32" s="204"/>
      <c r="D32" s="209"/>
      <c r="E32" s="254"/>
      <c r="F32" s="604"/>
      <c r="G32" s="205"/>
      <c r="H32" s="124"/>
      <c r="I32" s="591"/>
      <c r="J32" s="170"/>
      <c r="K32" s="125"/>
      <c r="L32" s="166"/>
      <c r="M32" s="126"/>
      <c r="N32" s="127"/>
      <c r="O32" s="172"/>
      <c r="P32" s="231"/>
      <c r="Q32" s="126"/>
      <c r="R32" s="88"/>
      <c r="S32" s="786"/>
      <c r="T32" s="101"/>
      <c r="U32" s="1158"/>
      <c r="V32" s="1153"/>
      <c r="W32" s="1159"/>
      <c r="X32" s="1154"/>
      <c r="Y32" s="1155"/>
      <c r="Z32" s="1156"/>
      <c r="AA32" s="1157"/>
    </row>
    <row r="33" spans="1:27" ht="22.5" customHeight="1" thickBot="1" x14ac:dyDescent="0.3">
      <c r="A33" s="708"/>
      <c r="B33" s="203"/>
      <c r="C33" s="204"/>
      <c r="D33" s="209"/>
      <c r="E33" s="254"/>
      <c r="F33" s="604"/>
      <c r="G33" s="205"/>
      <c r="H33" s="124"/>
      <c r="I33" s="591"/>
      <c r="J33" s="170"/>
      <c r="K33" s="125"/>
      <c r="L33" s="166"/>
      <c r="M33" s="126"/>
      <c r="N33" s="127"/>
      <c r="O33" s="172"/>
      <c r="P33" s="231"/>
      <c r="Q33" s="126"/>
      <c r="R33" s="88"/>
      <c r="S33" s="786"/>
      <c r="T33" s="101"/>
      <c r="U33" s="1158"/>
      <c r="V33" s="1153"/>
      <c r="W33" s="1159"/>
      <c r="X33" s="1154"/>
      <c r="Y33" s="1155"/>
      <c r="Z33" s="1156"/>
      <c r="AA33" s="1157"/>
    </row>
    <row r="34" spans="1:27" ht="22.5" customHeight="1" thickBot="1" x14ac:dyDescent="0.3">
      <c r="A34" s="708"/>
      <c r="B34" s="203"/>
      <c r="C34" s="204"/>
      <c r="D34" s="209"/>
      <c r="E34" s="254"/>
      <c r="F34" s="604"/>
      <c r="G34" s="205"/>
      <c r="H34" s="124"/>
      <c r="I34" s="591"/>
      <c r="J34" s="170"/>
      <c r="K34" s="125"/>
      <c r="L34" s="166"/>
      <c r="M34" s="126"/>
      <c r="N34" s="127"/>
      <c r="O34" s="172"/>
      <c r="P34" s="231"/>
      <c r="Q34" s="126"/>
      <c r="R34" s="88"/>
      <c r="S34" s="786"/>
      <c r="T34" s="101"/>
      <c r="U34" s="1158"/>
      <c r="V34" s="1153"/>
      <c r="W34" s="1159"/>
      <c r="X34" s="1154"/>
      <c r="Y34" s="1155"/>
      <c r="Z34" s="1156"/>
      <c r="AA34" s="1157"/>
    </row>
    <row r="35" spans="1:27" ht="22.5" customHeight="1" thickBot="1" x14ac:dyDescent="0.3">
      <c r="A35" s="708"/>
      <c r="B35" s="203"/>
      <c r="C35" s="204"/>
      <c r="D35" s="209"/>
      <c r="E35" s="254"/>
      <c r="F35" s="604"/>
      <c r="G35" s="205"/>
      <c r="H35" s="124"/>
      <c r="I35" s="591"/>
      <c r="J35" s="170"/>
      <c r="K35" s="125"/>
      <c r="L35" s="166"/>
      <c r="M35" s="126"/>
      <c r="N35" s="127"/>
      <c r="O35" s="172"/>
      <c r="P35" s="231"/>
      <c r="Q35" s="126"/>
      <c r="R35" s="88"/>
      <c r="S35" s="786"/>
      <c r="T35" s="101"/>
      <c r="U35" s="1158"/>
      <c r="V35" s="1153"/>
      <c r="W35" s="1159"/>
      <c r="X35" s="1154"/>
      <c r="Y35" s="1155"/>
      <c r="Z35" s="1156"/>
      <c r="AA35" s="1157"/>
    </row>
    <row r="36" spans="1:27" ht="22.5" customHeight="1" thickBot="1" x14ac:dyDescent="0.3">
      <c r="A36" s="708"/>
      <c r="B36" s="203"/>
      <c r="C36" s="204"/>
      <c r="D36" s="209"/>
      <c r="E36" s="254"/>
      <c r="F36" s="604"/>
      <c r="G36" s="205"/>
      <c r="H36" s="124"/>
      <c r="I36" s="591"/>
      <c r="J36" s="170"/>
      <c r="K36" s="125"/>
      <c r="L36" s="166"/>
      <c r="M36" s="126"/>
      <c r="N36" s="127"/>
      <c r="O36" s="172"/>
      <c r="P36" s="231"/>
      <c r="Q36" s="126"/>
      <c r="R36" s="88"/>
      <c r="S36" s="786"/>
      <c r="T36" s="101"/>
      <c r="U36" s="1158"/>
      <c r="V36" s="1153"/>
      <c r="W36" s="1159"/>
      <c r="X36" s="1154"/>
      <c r="Y36" s="1155"/>
      <c r="Z36" s="1156"/>
      <c r="AA36" s="1157"/>
    </row>
    <row r="37" spans="1:27" ht="22.5" customHeight="1" thickBot="1" x14ac:dyDescent="0.3">
      <c r="A37" s="708"/>
      <c r="B37" s="203"/>
      <c r="C37" s="204"/>
      <c r="D37" s="209"/>
      <c r="E37" s="254"/>
      <c r="F37" s="604"/>
      <c r="G37" s="205"/>
      <c r="H37" s="124"/>
      <c r="I37" s="591"/>
      <c r="J37" s="170"/>
      <c r="K37" s="125"/>
      <c r="L37" s="166"/>
      <c r="M37" s="126"/>
      <c r="N37" s="127"/>
      <c r="O37" s="172"/>
      <c r="P37" s="231"/>
      <c r="Q37" s="126"/>
      <c r="R37" s="88"/>
      <c r="S37" s="786"/>
      <c r="T37" s="101"/>
      <c r="U37" s="1158"/>
      <c r="V37" s="1153"/>
      <c r="W37" s="1159"/>
      <c r="X37" s="1154"/>
      <c r="Y37" s="1155"/>
      <c r="Z37" s="1156"/>
      <c r="AA37" s="1157"/>
    </row>
    <row r="38" spans="1:27" ht="22.5" customHeight="1" thickBot="1" x14ac:dyDescent="0.3">
      <c r="A38" s="708"/>
      <c r="B38" s="203"/>
      <c r="C38" s="204"/>
      <c r="D38" s="209"/>
      <c r="E38" s="254"/>
      <c r="F38" s="604"/>
      <c r="G38" s="205"/>
      <c r="H38" s="124"/>
      <c r="I38" s="591"/>
      <c r="J38" s="170"/>
      <c r="K38" s="125"/>
      <c r="L38" s="166"/>
      <c r="M38" s="126"/>
      <c r="N38" s="127"/>
      <c r="O38" s="172"/>
      <c r="P38" s="231"/>
      <c r="Q38" s="126"/>
      <c r="R38" s="88"/>
      <c r="S38" s="786"/>
      <c r="T38" s="101"/>
      <c r="U38" s="1158"/>
      <c r="V38" s="1153"/>
      <c r="W38" s="1159"/>
      <c r="X38" s="1154"/>
      <c r="Y38" s="1155"/>
      <c r="Z38" s="1156"/>
      <c r="AA38" s="1157"/>
    </row>
    <row r="39" spans="1:27" ht="22.5" customHeight="1" thickBot="1" x14ac:dyDescent="0.3">
      <c r="A39" s="708"/>
      <c r="B39" s="203"/>
      <c r="C39" s="204"/>
      <c r="D39" s="209"/>
      <c r="E39" s="254"/>
      <c r="F39" s="604"/>
      <c r="G39" s="205"/>
      <c r="H39" s="124"/>
      <c r="I39" s="591"/>
      <c r="J39" s="170"/>
      <c r="K39" s="125"/>
      <c r="L39" s="166"/>
      <c r="M39" s="126"/>
      <c r="N39" s="127"/>
      <c r="O39" s="172"/>
      <c r="P39" s="231"/>
      <c r="Q39" s="126"/>
      <c r="R39" s="88"/>
      <c r="S39" s="786"/>
      <c r="T39" s="101"/>
      <c r="U39" s="1158"/>
      <c r="V39" s="1153"/>
      <c r="W39" s="1159"/>
      <c r="X39" s="1154"/>
      <c r="Y39" s="1155"/>
      <c r="Z39" s="1156"/>
      <c r="AA39" s="1157"/>
    </row>
    <row r="40" spans="1:27" ht="22.5" customHeight="1" thickBot="1" x14ac:dyDescent="0.3">
      <c r="A40" s="890"/>
      <c r="B40" s="240"/>
      <c r="C40" s="241"/>
      <c r="D40" s="242"/>
      <c r="E40" s="257"/>
      <c r="F40" s="604"/>
      <c r="G40" s="239"/>
      <c r="H40" s="258"/>
      <c r="I40" s="662"/>
      <c r="J40" s="262"/>
      <c r="K40" s="128"/>
      <c r="L40" s="167"/>
      <c r="M40" s="129"/>
      <c r="N40" s="130"/>
      <c r="O40" s="895"/>
      <c r="P40" s="260"/>
      <c r="Q40" s="129"/>
      <c r="R40" s="614"/>
      <c r="S40" s="787"/>
      <c r="T40" s="615"/>
      <c r="U40" s="1158"/>
      <c r="V40" s="1153"/>
      <c r="W40" s="1159"/>
      <c r="X40" s="1154"/>
      <c r="Y40" s="1155"/>
      <c r="Z40" s="1156"/>
      <c r="AA40" s="1157"/>
    </row>
    <row r="41" spans="1:27" ht="22.5" customHeight="1" thickBot="1" x14ac:dyDescent="0.3">
      <c r="A41" s="926"/>
      <c r="B41" s="203"/>
      <c r="C41" s="204"/>
      <c r="D41" s="209"/>
      <c r="E41" s="987"/>
      <c r="F41" s="604"/>
      <c r="G41" s="205"/>
      <c r="H41" s="124"/>
      <c r="I41" s="1187"/>
      <c r="J41" s="170"/>
      <c r="K41" s="125"/>
      <c r="L41" s="166"/>
      <c r="M41" s="126"/>
      <c r="N41" s="127"/>
      <c r="O41" s="172"/>
      <c r="P41" s="231"/>
      <c r="Q41" s="126"/>
      <c r="R41" s="88"/>
      <c r="S41" s="786"/>
      <c r="T41" s="101"/>
      <c r="U41" s="1158"/>
      <c r="V41" s="1153"/>
      <c r="W41" s="1159"/>
      <c r="X41" s="1154"/>
      <c r="Y41" s="1155"/>
      <c r="Z41" s="1156"/>
      <c r="AA41" s="1157"/>
    </row>
    <row r="42" spans="1:27" ht="22.5" customHeight="1" thickBot="1" x14ac:dyDescent="0.3">
      <c r="A42" s="708"/>
      <c r="B42" s="203"/>
      <c r="C42" s="204"/>
      <c r="D42" s="209"/>
      <c r="E42" s="254"/>
      <c r="F42" s="604"/>
      <c r="G42" s="205"/>
      <c r="H42" s="124"/>
      <c r="I42" s="591"/>
      <c r="J42" s="170"/>
      <c r="K42" s="125"/>
      <c r="L42" s="166"/>
      <c r="M42" s="126"/>
      <c r="N42" s="127"/>
      <c r="O42" s="172"/>
      <c r="P42" s="231"/>
      <c r="Q42" s="126"/>
      <c r="R42" s="88"/>
      <c r="S42" s="786"/>
      <c r="T42" s="101"/>
      <c r="U42" s="1158"/>
      <c r="V42" s="1153"/>
      <c r="W42" s="1159"/>
      <c r="X42" s="1154"/>
      <c r="Y42" s="1155"/>
      <c r="Z42" s="1156"/>
      <c r="AA42" s="1157"/>
    </row>
    <row r="43" spans="1:27" ht="22.5" customHeight="1" thickBot="1" x14ac:dyDescent="0.3">
      <c r="A43" s="708"/>
      <c r="B43" s="203"/>
      <c r="C43" s="204"/>
      <c r="D43" s="209"/>
      <c r="E43" s="254"/>
      <c r="F43" s="604"/>
      <c r="G43" s="205"/>
      <c r="H43" s="124"/>
      <c r="I43" s="591"/>
      <c r="J43" s="170"/>
      <c r="K43" s="125"/>
      <c r="L43" s="166"/>
      <c r="M43" s="126"/>
      <c r="N43" s="127"/>
      <c r="O43" s="172"/>
      <c r="P43" s="231"/>
      <c r="Q43" s="126"/>
      <c r="R43" s="88"/>
      <c r="S43" s="786"/>
      <c r="T43" s="101"/>
      <c r="U43" s="1158"/>
      <c r="V43" s="1153"/>
      <c r="W43" s="1159"/>
      <c r="X43" s="1154"/>
      <c r="Y43" s="1155"/>
      <c r="Z43" s="1156"/>
      <c r="AA43" s="1157"/>
    </row>
    <row r="44" spans="1:27" ht="22.5" customHeight="1" thickBot="1" x14ac:dyDescent="0.3">
      <c r="A44" s="708"/>
      <c r="B44" s="203"/>
      <c r="C44" s="204"/>
      <c r="D44" s="209"/>
      <c r="E44" s="254"/>
      <c r="F44" s="604"/>
      <c r="G44" s="205"/>
      <c r="H44" s="124"/>
      <c r="I44" s="591"/>
      <c r="J44" s="170"/>
      <c r="K44" s="125"/>
      <c r="L44" s="166"/>
      <c r="M44" s="126"/>
      <c r="N44" s="127"/>
      <c r="O44" s="172"/>
      <c r="P44" s="231"/>
      <c r="Q44" s="126"/>
      <c r="R44" s="88"/>
      <c r="S44" s="786"/>
      <c r="T44" s="101"/>
      <c r="U44" s="1158"/>
      <c r="V44" s="1153"/>
      <c r="W44" s="1159"/>
      <c r="X44" s="1154"/>
      <c r="Y44" s="1155"/>
      <c r="Z44" s="1156"/>
      <c r="AA44" s="1157"/>
    </row>
    <row r="45" spans="1:27" ht="22.5" customHeight="1" thickBot="1" x14ac:dyDescent="0.3">
      <c r="A45" s="708"/>
      <c r="B45" s="203"/>
      <c r="C45" s="204"/>
      <c r="D45" s="209"/>
      <c r="E45" s="254"/>
      <c r="F45" s="604"/>
      <c r="G45" s="205"/>
      <c r="H45" s="124"/>
      <c r="I45" s="591"/>
      <c r="J45" s="170"/>
      <c r="K45" s="125"/>
      <c r="L45" s="166"/>
      <c r="M45" s="126"/>
      <c r="N45" s="127"/>
      <c r="O45" s="172"/>
      <c r="P45" s="231"/>
      <c r="Q45" s="126"/>
      <c r="R45" s="88"/>
      <c r="S45" s="786"/>
      <c r="T45" s="101"/>
      <c r="U45" s="1158"/>
      <c r="V45" s="1153"/>
      <c r="W45" s="1159"/>
      <c r="X45" s="1154"/>
      <c r="Y45" s="1155"/>
      <c r="Z45" s="1156"/>
      <c r="AA45" s="1157"/>
    </row>
    <row r="46" spans="1:27" ht="22.5" customHeight="1" thickBot="1" x14ac:dyDescent="0.3">
      <c r="A46" s="708"/>
      <c r="B46" s="203"/>
      <c r="C46" s="204"/>
      <c r="D46" s="209"/>
      <c r="E46" s="254"/>
      <c r="F46" s="604"/>
      <c r="G46" s="205"/>
      <c r="H46" s="124"/>
      <c r="I46" s="591"/>
      <c r="J46" s="170"/>
      <c r="K46" s="125"/>
      <c r="L46" s="166"/>
      <c r="M46" s="126"/>
      <c r="N46" s="127"/>
      <c r="O46" s="172"/>
      <c r="P46" s="231"/>
      <c r="Q46" s="126"/>
      <c r="R46" s="88"/>
      <c r="S46" s="786"/>
      <c r="T46" s="101"/>
      <c r="U46" s="1158"/>
      <c r="V46" s="1153"/>
      <c r="W46" s="1159"/>
      <c r="X46" s="1154"/>
      <c r="Y46" s="1155"/>
      <c r="Z46" s="1156"/>
      <c r="AA46" s="1157"/>
    </row>
    <row r="47" spans="1:27" ht="22.5" customHeight="1" thickBot="1" x14ac:dyDescent="0.3">
      <c r="A47" s="708"/>
      <c r="B47" s="203"/>
      <c r="C47" s="204"/>
      <c r="D47" s="209"/>
      <c r="E47" s="254"/>
      <c r="F47" s="604"/>
      <c r="G47" s="205"/>
      <c r="H47" s="124"/>
      <c r="I47" s="591"/>
      <c r="J47" s="170"/>
      <c r="K47" s="125"/>
      <c r="L47" s="166"/>
      <c r="M47" s="126"/>
      <c r="N47" s="127"/>
      <c r="O47" s="172"/>
      <c r="P47" s="231"/>
      <c r="Q47" s="126"/>
      <c r="R47" s="88"/>
      <c r="S47" s="786"/>
      <c r="T47" s="101"/>
      <c r="U47" s="1158"/>
      <c r="V47" s="1153"/>
      <c r="W47" s="1159"/>
      <c r="X47" s="1154"/>
      <c r="Y47" s="1155"/>
      <c r="Z47" s="1156"/>
      <c r="AA47" s="1157"/>
    </row>
    <row r="48" spans="1:27" ht="22.5" customHeight="1" thickBot="1" x14ac:dyDescent="0.3">
      <c r="A48" s="708"/>
      <c r="B48" s="203"/>
      <c r="C48" s="204"/>
      <c r="D48" s="209"/>
      <c r="E48" s="254"/>
      <c r="F48" s="604"/>
      <c r="G48" s="205"/>
      <c r="H48" s="124"/>
      <c r="I48" s="591"/>
      <c r="J48" s="170"/>
      <c r="K48" s="125"/>
      <c r="L48" s="166"/>
      <c r="M48" s="126"/>
      <c r="N48" s="127"/>
      <c r="O48" s="172"/>
      <c r="P48" s="231"/>
      <c r="Q48" s="126"/>
      <c r="R48" s="88"/>
      <c r="S48" s="786"/>
      <c r="T48" s="101"/>
      <c r="U48" s="1158"/>
      <c r="V48" s="1153"/>
      <c r="W48" s="1159"/>
      <c r="X48" s="1154"/>
      <c r="Y48" s="1155"/>
      <c r="Z48" s="1156"/>
      <c r="AA48" s="1157"/>
    </row>
    <row r="49" spans="1:27" ht="22.5" customHeight="1" thickBot="1" x14ac:dyDescent="0.3">
      <c r="A49" s="708"/>
      <c r="B49" s="203"/>
      <c r="C49" s="204"/>
      <c r="D49" s="209"/>
      <c r="E49" s="254"/>
      <c r="F49" s="604"/>
      <c r="G49" s="205"/>
      <c r="H49" s="124"/>
      <c r="I49" s="591"/>
      <c r="J49" s="170"/>
      <c r="K49" s="125"/>
      <c r="L49" s="166"/>
      <c r="M49" s="126"/>
      <c r="N49" s="127"/>
      <c r="O49" s="172"/>
      <c r="P49" s="231"/>
      <c r="Q49" s="126"/>
      <c r="R49" s="88"/>
      <c r="S49" s="786"/>
      <c r="T49" s="101"/>
      <c r="U49" s="1158"/>
      <c r="V49" s="1153"/>
      <c r="W49" s="1159"/>
      <c r="X49" s="1154"/>
      <c r="Y49" s="1155"/>
      <c r="Z49" s="1156"/>
      <c r="AA49" s="1157"/>
    </row>
    <row r="50" spans="1:27" ht="22.5" customHeight="1" thickBot="1" x14ac:dyDescent="0.3">
      <c r="A50" s="708"/>
      <c r="B50" s="203"/>
      <c r="C50" s="204"/>
      <c r="D50" s="209"/>
      <c r="E50" s="254"/>
      <c r="F50" s="604"/>
      <c r="G50" s="205"/>
      <c r="H50" s="124"/>
      <c r="I50" s="591"/>
      <c r="J50" s="170"/>
      <c r="K50" s="125"/>
      <c r="L50" s="166"/>
      <c r="M50" s="126"/>
      <c r="N50" s="127"/>
      <c r="O50" s="172"/>
      <c r="P50" s="231"/>
      <c r="Q50" s="126"/>
      <c r="R50" s="88"/>
      <c r="S50" s="786"/>
      <c r="T50" s="101"/>
      <c r="U50" s="1158"/>
      <c r="V50" s="1153"/>
      <c r="W50" s="1159"/>
      <c r="X50" s="1154"/>
      <c r="Y50" s="1155"/>
      <c r="Z50" s="1156"/>
      <c r="AA50" s="1157"/>
    </row>
    <row r="51" spans="1:27" ht="22.5" customHeight="1" thickBot="1" x14ac:dyDescent="0.3">
      <c r="A51" s="890"/>
      <c r="B51" s="240"/>
      <c r="C51" s="241"/>
      <c r="D51" s="242"/>
      <c r="E51" s="257"/>
      <c r="F51" s="605"/>
      <c r="G51" s="239"/>
      <c r="H51" s="258"/>
      <c r="I51" s="662"/>
      <c r="J51" s="262"/>
      <c r="K51" s="128"/>
      <c r="L51" s="167"/>
      <c r="M51" s="129"/>
      <c r="N51" s="130"/>
      <c r="O51" s="895"/>
      <c r="P51" s="260"/>
      <c r="Q51" s="129"/>
      <c r="R51" s="614"/>
      <c r="S51" s="787"/>
      <c r="T51" s="615"/>
      <c r="U51" s="1158"/>
      <c r="V51" s="1153"/>
      <c r="W51" s="1159"/>
      <c r="X51" s="1154"/>
      <c r="Y51" s="1155"/>
      <c r="Z51" s="1156"/>
      <c r="AA51" s="1157"/>
    </row>
    <row r="52" spans="1:27" ht="22.5" hidden="1" customHeight="1" thickBot="1" x14ac:dyDescent="0.3">
      <c r="A52" s="889"/>
      <c r="B52" s="249"/>
      <c r="C52" s="287"/>
      <c r="D52" s="288"/>
      <c r="E52" s="253"/>
      <c r="F52" s="898"/>
      <c r="G52" s="256"/>
      <c r="H52" s="259"/>
      <c r="I52" s="259"/>
      <c r="J52" s="224"/>
      <c r="K52" s="131"/>
      <c r="L52" s="168"/>
      <c r="M52" s="132"/>
      <c r="N52" s="133"/>
      <c r="O52" s="132"/>
      <c r="P52" s="226"/>
      <c r="Q52" s="132"/>
      <c r="R52" s="88"/>
      <c r="S52" s="786"/>
      <c r="T52" s="101"/>
      <c r="X52" s="991"/>
      <c r="Y52" s="1022"/>
      <c r="Z52" s="1156"/>
    </row>
    <row r="53" spans="1:27" ht="22.5" hidden="1" customHeight="1" thickBot="1" x14ac:dyDescent="0.3">
      <c r="A53" s="708"/>
      <c r="B53" s="203"/>
      <c r="C53" s="204"/>
      <c r="D53" s="209"/>
      <c r="E53" s="254"/>
      <c r="F53" s="604"/>
      <c r="G53" s="205"/>
      <c r="H53" s="124"/>
      <c r="I53" s="124"/>
      <c r="J53" s="170"/>
      <c r="K53" s="125"/>
      <c r="L53" s="166"/>
      <c r="M53" s="126"/>
      <c r="N53" s="127"/>
      <c r="O53" s="172"/>
      <c r="P53" s="231"/>
      <c r="Q53" s="126"/>
      <c r="R53" s="88"/>
      <c r="S53" s="786"/>
      <c r="T53" s="101"/>
      <c r="X53" s="991"/>
      <c r="Y53" s="1022"/>
      <c r="Z53" s="1156"/>
    </row>
    <row r="54" spans="1:27" ht="22.5" hidden="1" customHeight="1" thickBot="1" x14ac:dyDescent="0.3">
      <c r="A54" s="890"/>
      <c r="B54" s="240"/>
      <c r="C54" s="241"/>
      <c r="D54" s="242"/>
      <c r="E54" s="257"/>
      <c r="F54" s="605"/>
      <c r="G54" s="239"/>
      <c r="H54" s="258"/>
      <c r="I54" s="258"/>
      <c r="J54" s="262"/>
      <c r="K54" s="128"/>
      <c r="L54" s="167"/>
      <c r="M54" s="129"/>
      <c r="N54" s="130"/>
      <c r="O54" s="174"/>
      <c r="P54" s="260"/>
      <c r="Q54" s="129"/>
      <c r="R54" s="479"/>
      <c r="S54" s="786"/>
      <c r="T54" s="102"/>
      <c r="X54" s="991"/>
      <c r="Y54" s="1022"/>
      <c r="Z54" s="1156"/>
    </row>
    <row r="55" spans="1:27" ht="20.100000000000001" customHeight="1" x14ac:dyDescent="0.25">
      <c r="A55" s="18"/>
      <c r="B55" s="134"/>
      <c r="C55" s="134"/>
      <c r="D55" s="134"/>
      <c r="E55" s="134"/>
      <c r="F55" s="134"/>
      <c r="G55" s="134"/>
      <c r="H55" s="134"/>
      <c r="I55" s="134"/>
      <c r="J55" s="165"/>
      <c r="K55" s="135"/>
      <c r="L55" s="134"/>
      <c r="M55" s="136"/>
      <c r="N55" s="135"/>
      <c r="O55" s="137"/>
      <c r="P55" s="134"/>
      <c r="Q55" s="261"/>
      <c r="R55" s="448"/>
      <c r="S55" s="448"/>
      <c r="T55" s="448"/>
      <c r="X55" s="448"/>
      <c r="Y55" s="1025"/>
    </row>
    <row r="56" spans="1:27" ht="18.75" customHeight="1" x14ac:dyDescent="0.25">
      <c r="A56" s="1"/>
      <c r="B56" s="91"/>
      <c r="C56" s="91"/>
      <c r="D56" s="91"/>
      <c r="E56" s="91"/>
      <c r="F56" s="91"/>
      <c r="G56" s="91"/>
      <c r="H56" s="91"/>
      <c r="I56" s="91"/>
      <c r="J56" s="91"/>
      <c r="K56" s="92"/>
      <c r="L56" s="91"/>
      <c r="M56" s="94"/>
      <c r="N56" s="92"/>
      <c r="O56" s="93"/>
      <c r="P56" s="1243"/>
      <c r="Q56" s="1243"/>
      <c r="R56" s="1243"/>
      <c r="S56" s="1243"/>
      <c r="T56" s="1243"/>
      <c r="X56" s="919"/>
      <c r="Y56" s="1026"/>
    </row>
    <row r="57" spans="1:27" s="32" customFormat="1" ht="20.100000000000001" customHeight="1" x14ac:dyDescent="0.25">
      <c r="A57" s="471"/>
      <c r="K57" s="33"/>
      <c r="M57" s="34"/>
      <c r="N57" s="33"/>
      <c r="O57" s="59"/>
      <c r="P57" s="1244"/>
      <c r="Q57" s="1244"/>
      <c r="R57" s="1244"/>
      <c r="S57" s="1244"/>
      <c r="T57" s="1244"/>
      <c r="X57" s="920"/>
      <c r="Y57" s="1027"/>
      <c r="Z57" s="953"/>
      <c r="AA57" s="2"/>
    </row>
    <row r="58" spans="1:27" ht="20.100000000000001" customHeight="1" x14ac:dyDescent="0.25">
      <c r="A58" s="26"/>
      <c r="P58" s="1244"/>
      <c r="Q58" s="1244"/>
      <c r="R58" s="1244"/>
      <c r="S58" s="1244"/>
      <c r="T58" s="1244"/>
      <c r="X58" s="920"/>
      <c r="Y58" s="1027"/>
    </row>
    <row r="59" spans="1:27" ht="20.100000000000001" customHeight="1" x14ac:dyDescent="0.25">
      <c r="A59" s="26"/>
      <c r="P59" s="1245"/>
      <c r="Q59" s="1245"/>
      <c r="R59" s="1245"/>
      <c r="S59" s="1245"/>
      <c r="T59" s="1245"/>
      <c r="X59" s="921"/>
      <c r="Y59" s="1028"/>
    </row>
    <row r="60" spans="1:27" ht="20.100000000000001" customHeight="1" x14ac:dyDescent="0.25">
      <c r="A60" s="26"/>
      <c r="R60" s="1245"/>
      <c r="S60" s="1245"/>
      <c r="T60" s="1245"/>
      <c r="X60" s="921"/>
      <c r="Y60" s="1028"/>
    </row>
    <row r="61" spans="1:27" ht="20.100000000000001" customHeight="1" x14ac:dyDescent="0.25">
      <c r="A61" s="30"/>
      <c r="G61" s="4"/>
      <c r="J61" s="5"/>
      <c r="L61" s="56"/>
    </row>
    <row r="62" spans="1:27" s="974" customFormat="1" ht="20.100000000000001" customHeight="1" x14ac:dyDescent="0.25">
      <c r="A62" s="30"/>
      <c r="B62" s="2"/>
      <c r="C62" s="2"/>
      <c r="D62" s="2"/>
      <c r="E62" s="2"/>
      <c r="F62" s="2"/>
      <c r="G62" s="4"/>
      <c r="H62" s="2"/>
      <c r="I62" s="2"/>
      <c r="J62" s="5"/>
      <c r="K62" s="4"/>
      <c r="L62" s="56"/>
      <c r="M62" s="5"/>
      <c r="N62" s="4"/>
      <c r="O62" s="56"/>
      <c r="P62" s="2"/>
      <c r="Q62" s="5"/>
      <c r="R62" s="2"/>
      <c r="S62" s="2"/>
      <c r="T62" s="2"/>
      <c r="X62" s="2"/>
      <c r="Y62" s="745"/>
      <c r="Z62" s="953"/>
      <c r="AA62" s="2"/>
    </row>
    <row r="63" spans="1:27" s="974" customFormat="1" ht="20.100000000000001" customHeight="1" x14ac:dyDescent="0.25">
      <c r="A63" s="30"/>
      <c r="B63" s="2"/>
      <c r="C63" s="2"/>
      <c r="D63" s="2"/>
      <c r="E63" s="2"/>
      <c r="F63" s="2"/>
      <c r="G63" s="4"/>
      <c r="H63" s="2"/>
      <c r="I63" s="2"/>
      <c r="J63" s="5"/>
      <c r="K63" s="4"/>
      <c r="L63" s="56"/>
      <c r="M63" s="5"/>
      <c r="N63" s="4"/>
      <c r="O63" s="56"/>
      <c r="P63" s="2"/>
      <c r="Q63" s="5"/>
      <c r="R63" s="2"/>
      <c r="S63" s="2"/>
      <c r="T63" s="2"/>
      <c r="X63" s="2"/>
      <c r="Y63" s="745"/>
      <c r="Z63" s="953"/>
      <c r="AA63" s="2"/>
    </row>
    <row r="64" spans="1:27" s="974" customFormat="1" ht="20.100000000000001" customHeight="1" x14ac:dyDescent="0.25">
      <c r="A64" s="30"/>
      <c r="B64" s="2"/>
      <c r="C64" s="2"/>
      <c r="D64" s="2"/>
      <c r="E64" s="2"/>
      <c r="F64" s="2"/>
      <c r="G64" s="4"/>
      <c r="H64" s="2"/>
      <c r="I64" s="2"/>
      <c r="J64" s="5"/>
      <c r="K64" s="4"/>
      <c r="L64" s="56"/>
      <c r="M64" s="5"/>
      <c r="N64" s="4"/>
      <c r="O64" s="56"/>
      <c r="P64" s="2"/>
      <c r="Q64" s="5"/>
      <c r="R64" s="2"/>
      <c r="S64" s="2"/>
      <c r="T64" s="2"/>
      <c r="X64" s="2"/>
      <c r="Y64" s="745"/>
      <c r="Z64" s="953"/>
      <c r="AA64" s="2"/>
    </row>
    <row r="65" spans="1:27" s="974" customFormat="1" ht="20.100000000000001" customHeight="1" x14ac:dyDescent="0.25">
      <c r="A65" s="31"/>
      <c r="B65" s="2"/>
      <c r="C65" s="2"/>
      <c r="D65" s="2"/>
      <c r="E65" s="2"/>
      <c r="F65" s="2"/>
      <c r="G65" s="2"/>
      <c r="H65" s="2"/>
      <c r="I65" s="2"/>
      <c r="J65" s="2"/>
      <c r="K65" s="4"/>
      <c r="L65" s="2"/>
      <c r="M65" s="5"/>
      <c r="N65" s="4"/>
      <c r="O65" s="56"/>
      <c r="P65" s="2"/>
      <c r="Q65" s="5"/>
      <c r="R65" s="2"/>
      <c r="S65" s="2"/>
      <c r="T65" s="2"/>
      <c r="X65" s="2"/>
      <c r="Y65" s="745"/>
      <c r="Z65" s="953"/>
      <c r="AA65" s="2"/>
    </row>
    <row r="66" spans="1:27" s="974" customFormat="1" ht="20.100000000000001" customHeight="1" x14ac:dyDescent="0.25">
      <c r="A66" s="3"/>
      <c r="B66" s="2"/>
      <c r="C66" s="2"/>
      <c r="D66" s="2"/>
      <c r="E66" s="2"/>
      <c r="F66" s="2"/>
      <c r="G66" s="2"/>
      <c r="H66" s="2"/>
      <c r="I66" s="2"/>
      <c r="J66" s="2"/>
      <c r="K66" s="4"/>
      <c r="L66" s="2"/>
      <c r="M66" s="5"/>
      <c r="N66" s="4"/>
      <c r="O66" s="56"/>
      <c r="P66" s="2"/>
      <c r="Q66" s="5"/>
      <c r="R66" s="2"/>
      <c r="S66" s="2"/>
      <c r="T66" s="2"/>
      <c r="X66" s="2"/>
      <c r="Y66" s="745"/>
      <c r="Z66" s="953"/>
      <c r="AA66" s="2"/>
    </row>
    <row r="67" spans="1:27" s="974" customFormat="1" ht="19.5" customHeight="1" x14ac:dyDescent="0.25">
      <c r="A67" s="2"/>
      <c r="B67" s="2"/>
      <c r="C67" s="2"/>
      <c r="D67" s="2"/>
      <c r="E67" s="2"/>
      <c r="F67" s="2"/>
      <c r="G67" s="2"/>
      <c r="H67" s="2"/>
      <c r="I67" s="2"/>
      <c r="J67" s="2"/>
      <c r="K67" s="4"/>
      <c r="L67" s="2"/>
      <c r="M67" s="5"/>
      <c r="N67" s="4"/>
      <c r="O67" s="56"/>
      <c r="P67" s="2"/>
      <c r="Q67" s="5"/>
      <c r="R67" s="2"/>
      <c r="S67" s="2"/>
      <c r="T67" s="2"/>
      <c r="X67" s="2"/>
      <c r="Y67" s="745"/>
      <c r="Z67" s="953"/>
      <c r="AA67" s="2"/>
    </row>
    <row r="68" spans="1:27" s="974" customFormat="1" ht="20.100000000000001" customHeight="1" x14ac:dyDescent="0.25">
      <c r="A68" s="2"/>
      <c r="B68" s="2"/>
      <c r="C68" s="2"/>
      <c r="D68" s="2"/>
      <c r="E68" s="2"/>
      <c r="F68" s="2"/>
      <c r="G68" s="2"/>
      <c r="H68" s="2"/>
      <c r="I68" s="2"/>
      <c r="J68" s="2"/>
      <c r="K68" s="4"/>
      <c r="L68" s="2"/>
      <c r="M68" s="5"/>
      <c r="N68" s="4"/>
      <c r="O68" s="56"/>
      <c r="P68" s="2"/>
      <c r="Q68" s="5"/>
      <c r="R68" s="2"/>
      <c r="S68" s="2"/>
      <c r="T68" s="2"/>
      <c r="X68" s="2"/>
      <c r="Y68" s="745"/>
      <c r="Z68" s="953"/>
      <c r="AA68" s="2"/>
    </row>
    <row r="69" spans="1:27" s="974" customFormat="1" ht="20.100000000000001" customHeight="1" x14ac:dyDescent="0.25">
      <c r="A69" s="2"/>
      <c r="B69" s="2"/>
      <c r="C69" s="19"/>
      <c r="D69" s="20"/>
      <c r="E69" s="20"/>
      <c r="F69" s="20"/>
      <c r="G69" s="20"/>
      <c r="H69" s="20"/>
      <c r="I69" s="20"/>
      <c r="J69" s="20"/>
      <c r="K69" s="21"/>
      <c r="L69" s="20"/>
      <c r="M69" s="22"/>
      <c r="N69" s="69"/>
      <c r="O69" s="60"/>
      <c r="P69" s="20"/>
      <c r="Q69" s="22"/>
      <c r="R69" s="22"/>
      <c r="S69" s="22"/>
      <c r="T69" s="22"/>
      <c r="X69" s="22"/>
      <c r="Y69" s="1030"/>
      <c r="Z69" s="953"/>
      <c r="AA69" s="2"/>
    </row>
    <row r="70" spans="1:27" s="974" customFormat="1" ht="20.100000000000001" customHeight="1" x14ac:dyDescent="0.25">
      <c r="A70" s="3"/>
      <c r="B70" s="2"/>
      <c r="C70" s="23"/>
      <c r="D70" s="20"/>
      <c r="E70" s="20"/>
      <c r="F70" s="20"/>
      <c r="G70" s="20"/>
      <c r="H70" s="20"/>
      <c r="I70" s="20"/>
      <c r="J70" s="20"/>
      <c r="K70" s="21"/>
      <c r="L70" s="20"/>
      <c r="M70" s="24"/>
      <c r="N70" s="70"/>
      <c r="O70" s="60"/>
      <c r="P70" s="20"/>
      <c r="Q70" s="24"/>
      <c r="R70" s="24"/>
      <c r="S70" s="24"/>
      <c r="T70" s="24"/>
      <c r="X70" s="24"/>
      <c r="Y70" s="1031"/>
      <c r="Z70" s="953"/>
      <c r="AA70" s="2"/>
    </row>
    <row r="71" spans="1:27" s="974" customFormat="1" ht="20.100000000000001" customHeight="1" x14ac:dyDescent="0.25">
      <c r="A71" s="3"/>
      <c r="B71" s="2"/>
      <c r="C71" s="23"/>
      <c r="D71" s="20"/>
      <c r="E71" s="20"/>
      <c r="F71" s="20"/>
      <c r="G71" s="20"/>
      <c r="H71" s="20"/>
      <c r="I71" s="20"/>
      <c r="J71" s="20"/>
      <c r="K71" s="21"/>
      <c r="L71" s="20"/>
      <c r="M71" s="24"/>
      <c r="N71" s="70"/>
      <c r="O71" s="60"/>
      <c r="P71" s="20"/>
      <c r="Q71" s="24"/>
      <c r="R71" s="24"/>
      <c r="S71" s="24"/>
      <c r="T71" s="24"/>
      <c r="X71" s="24"/>
      <c r="Y71" s="1031"/>
      <c r="Z71" s="953"/>
      <c r="AA71" s="2"/>
    </row>
    <row r="73" spans="1:27" s="974" customFormat="1" x14ac:dyDescent="0.25">
      <c r="A73" s="3"/>
      <c r="B73" s="25"/>
      <c r="C73" s="2"/>
      <c r="D73" s="2"/>
      <c r="E73" s="2"/>
      <c r="F73" s="2"/>
      <c r="G73" s="2"/>
      <c r="H73" s="2"/>
      <c r="I73" s="2"/>
      <c r="J73" s="2"/>
      <c r="K73" s="4"/>
      <c r="L73" s="2"/>
      <c r="M73" s="5"/>
      <c r="N73" s="4"/>
      <c r="O73" s="56"/>
      <c r="P73" s="2"/>
      <c r="Q73" s="5"/>
      <c r="R73" s="2"/>
      <c r="S73" s="2"/>
      <c r="T73" s="2"/>
      <c r="X73" s="2"/>
      <c r="Y73" s="745"/>
      <c r="Z73" s="953"/>
      <c r="AA73" s="2"/>
    </row>
  </sheetData>
  <sheetProtection selectLockedCells="1" selectUnlockedCells="1"/>
  <protectedRanges>
    <protectedRange sqref="A1:T4 X1:Y4" name="Диапазон1"/>
  </protectedRanges>
  <mergeCells count="19">
    <mergeCell ref="P56:T56"/>
    <mergeCell ref="P57:T57"/>
    <mergeCell ref="P58:T58"/>
    <mergeCell ref="P59:T59"/>
    <mergeCell ref="R60:T60"/>
    <mergeCell ref="K6:M6"/>
    <mergeCell ref="N6:O6"/>
    <mergeCell ref="P6:Q6"/>
    <mergeCell ref="R6:T6"/>
    <mergeCell ref="B3:N3"/>
    <mergeCell ref="F6:F7"/>
    <mergeCell ref="G6:G7"/>
    <mergeCell ref="I6:I7"/>
    <mergeCell ref="J6:J7"/>
    <mergeCell ref="A6:A7"/>
    <mergeCell ref="B6:B7"/>
    <mergeCell ref="C6:C7"/>
    <mergeCell ref="D6:D7"/>
    <mergeCell ref="E6:E7"/>
  </mergeCells>
  <printOptions horizontalCentered="1"/>
  <pageMargins left="0.19685039370078741" right="0.19685039370078741" top="0.39370078740157483" bottom="0" header="0" footer="0"/>
  <pageSetup paperSize="9" scale="42" orientation="portrait" verticalDpi="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1617" r:id="rId4" name="Drop Down 1">
              <controlPr defaultSize="0" autoLine="0" autoPict="0">
                <anchor moveWithCells="1">
                  <from>
                    <xdr:col>14</xdr:col>
                    <xdr:colOff>381000</xdr:colOff>
                    <xdr:row>1</xdr:row>
                    <xdr:rowOff>133350</xdr:rowOff>
                  </from>
                  <to>
                    <xdr:col>17</xdr:col>
                    <xdr:colOff>523875</xdr:colOff>
                    <xdr:row>2</xdr:row>
                    <xdr:rowOff>161925</xdr:rowOff>
                  </to>
                </anchor>
              </controlPr>
            </control>
          </mc:Choice>
        </mc:AlternateContent>
        <mc:AlternateContent xmlns:mc="http://schemas.openxmlformats.org/markup-compatibility/2006">
          <mc:Choice Requires="x14">
            <control shapeId="111618" r:id="rId5" name="Drop Down 2">
              <controlPr defaultSize="0" autoLine="0" autoPict="0">
                <anchor moveWithCells="1">
                  <from>
                    <xdr:col>14</xdr:col>
                    <xdr:colOff>400050</xdr:colOff>
                    <xdr:row>2</xdr:row>
                    <xdr:rowOff>381000</xdr:rowOff>
                  </from>
                  <to>
                    <xdr:col>15</xdr:col>
                    <xdr:colOff>609600</xdr:colOff>
                    <xdr:row>2</xdr:row>
                    <xdr:rowOff>733425</xdr:rowOff>
                  </to>
                </anchor>
              </controlPr>
            </control>
          </mc:Choice>
        </mc:AlternateContent>
        <mc:AlternateContent xmlns:mc="http://schemas.openxmlformats.org/markup-compatibility/2006">
          <mc:Choice Requires="x14">
            <control shapeId="111620" r:id="rId6" name="Drop Down 4">
              <controlPr defaultSize="0" autoLine="0" autoPict="0">
                <anchor moveWithCells="1">
                  <from>
                    <xdr:col>16</xdr:col>
                    <xdr:colOff>171450</xdr:colOff>
                    <xdr:row>2</xdr:row>
                    <xdr:rowOff>381000</xdr:rowOff>
                  </from>
                  <to>
                    <xdr:col>17</xdr:col>
                    <xdr:colOff>523875</xdr:colOff>
                    <xdr:row>2</xdr:row>
                    <xdr:rowOff>733425</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1">
    <tabColor rgb="FFFF0000"/>
    <pageSetUpPr fitToPage="1"/>
  </sheetPr>
  <dimension ref="A1:AN89"/>
  <sheetViews>
    <sheetView showGridLines="0" view="pageBreakPreview" zoomScale="70" zoomScaleNormal="100" zoomScaleSheetLayoutView="70" workbookViewId="0">
      <pane xSplit="1" ySplit="7" topLeftCell="C71" activePane="bottomRight" state="frozen"/>
      <selection pane="topRight"/>
      <selection pane="bottomLeft"/>
      <selection pane="bottomRight" activeCell="P72" sqref="P72:T76"/>
    </sheetView>
  </sheetViews>
  <sheetFormatPr defaultColWidth="11.42578125" defaultRowHeight="18" x14ac:dyDescent="0.25"/>
  <cols>
    <col min="1" max="1" width="38.7109375" style="3" customWidth="1"/>
    <col min="2" max="2" width="9.7109375" style="2" customWidth="1"/>
    <col min="3" max="3" width="8.42578125" style="2" customWidth="1"/>
    <col min="4" max="4" width="9.7109375" style="2" customWidth="1"/>
    <col min="5" max="5" width="16.7109375" style="2" customWidth="1"/>
    <col min="6" max="6" width="5.85546875" style="2" customWidth="1"/>
    <col min="7" max="8" width="10.85546875" style="2" hidden="1" customWidth="1"/>
    <col min="9" max="9" width="11.28515625" style="2" customWidth="1"/>
    <col min="10" max="10" width="13.28515625" style="2" hidden="1" customWidth="1"/>
    <col min="11" max="11" width="11.5703125" style="4" customWidth="1"/>
    <col min="12" max="12" width="11.5703125" style="2" customWidth="1"/>
    <col min="13" max="13" width="15" style="5" customWidth="1"/>
    <col min="14" max="14" width="11.85546875" style="4" customWidth="1"/>
    <col min="15" max="15" width="14.85546875" style="56" customWidth="1"/>
    <col min="16" max="16" width="15.140625" style="2" customWidth="1"/>
    <col min="17" max="17" width="12.5703125" style="5" customWidth="1"/>
    <col min="18" max="18" width="15.140625" style="2" customWidth="1"/>
    <col min="19" max="19" width="17.5703125" style="2" customWidth="1"/>
    <col min="20" max="20" width="14" style="2" customWidth="1"/>
    <col min="21" max="21" width="17.28515625" customWidth="1"/>
    <col min="22" max="22" width="20.85546875" customWidth="1"/>
    <col min="23" max="23" width="21.7109375" style="2" customWidth="1"/>
    <col min="25" max="25" width="16.42578125" style="2" customWidth="1"/>
    <col min="26" max="32" width="14" style="2" customWidth="1"/>
    <col min="33" max="33" width="14" style="745" customWidth="1"/>
    <col min="34" max="34" width="12.7109375" style="953" customWidth="1"/>
    <col min="35" max="35" width="11.42578125" style="745" customWidth="1"/>
    <col min="36" max="37" width="11.42578125" style="900" customWidth="1"/>
    <col min="38" max="40" width="11.42578125" style="900"/>
    <col min="41" max="16384" width="11.42578125" style="2"/>
  </cols>
  <sheetData>
    <row r="1" spans="1:40" ht="26.25" x14ac:dyDescent="0.4">
      <c r="A1" s="903" t="s">
        <v>19</v>
      </c>
      <c r="B1" s="904"/>
      <c r="C1" s="904"/>
      <c r="D1" s="904"/>
      <c r="E1" s="904"/>
      <c r="F1" s="904"/>
      <c r="G1" s="904"/>
      <c r="H1" s="904"/>
      <c r="I1" s="904"/>
      <c r="J1" s="904"/>
      <c r="K1" s="905"/>
      <c r="L1" s="904"/>
      <c r="M1" s="906"/>
      <c r="N1" s="905"/>
      <c r="O1" s="1120"/>
      <c r="P1" s="1118"/>
      <c r="Q1" s="1119"/>
      <c r="R1" s="1118"/>
      <c r="S1" s="1118"/>
      <c r="T1" s="1118"/>
      <c r="W1" s="904"/>
      <c r="Y1" s="904"/>
      <c r="Z1" s="904"/>
      <c r="AA1" s="904"/>
      <c r="AB1" s="904"/>
      <c r="AC1" s="904"/>
      <c r="AD1" s="904"/>
      <c r="AE1" s="904"/>
      <c r="AF1" s="904"/>
      <c r="AG1" s="1012"/>
    </row>
    <row r="2" spans="1:40" s="27" customFormat="1" ht="26.25" x14ac:dyDescent="0.4">
      <c r="A2" s="903" t="s">
        <v>20</v>
      </c>
      <c r="B2" s="910"/>
      <c r="C2" s="910"/>
      <c r="D2" s="910"/>
      <c r="E2" s="910"/>
      <c r="F2" s="910"/>
      <c r="G2" s="910"/>
      <c r="H2" s="910"/>
      <c r="I2" s="910"/>
      <c r="J2" s="910"/>
      <c r="K2" s="911"/>
      <c r="L2" s="910"/>
      <c r="M2" s="912"/>
      <c r="N2" s="911"/>
      <c r="O2" s="913"/>
      <c r="P2" s="914"/>
      <c r="Q2" s="915"/>
      <c r="R2" s="914"/>
      <c r="S2" s="1121"/>
      <c r="T2" s="1121"/>
      <c r="W2" s="910"/>
      <c r="Y2" s="910"/>
      <c r="Z2" s="910"/>
      <c r="AA2" s="910"/>
      <c r="AB2" s="910"/>
      <c r="AC2" s="910"/>
      <c r="AD2" s="910"/>
      <c r="AE2" s="910"/>
      <c r="AF2" s="910"/>
      <c r="AG2" s="1013"/>
      <c r="AH2" s="1015"/>
      <c r="AI2" s="1014"/>
      <c r="AJ2" s="901"/>
      <c r="AK2" s="901"/>
      <c r="AL2" s="901"/>
      <c r="AM2" s="901"/>
      <c r="AN2" s="901"/>
    </row>
    <row r="3" spans="1:40" s="27" customFormat="1" ht="81.75" customHeight="1" x14ac:dyDescent="0.35">
      <c r="A3" s="916" t="str">
        <f>INDEX('Доставка по областям'!$A$2:$A$90,'ЛАЙТ Рязань'!Q5)</f>
        <v>Рязанская область</v>
      </c>
      <c r="B3" s="1358" t="str">
        <f>IFERROR(VLOOKUP(A3,'Доставка по областям'!$A$92:$B$107,2,0)," ")</f>
        <v xml:space="preserve"> </v>
      </c>
      <c r="C3" s="1358"/>
      <c r="D3" s="1358"/>
      <c r="E3" s="1358"/>
      <c r="F3" s="1358"/>
      <c r="G3" s="1358"/>
      <c r="H3" s="1358"/>
      <c r="I3" s="1358"/>
      <c r="J3" s="1358"/>
      <c r="K3" s="1358"/>
      <c r="L3" s="1358"/>
      <c r="M3" s="1358"/>
      <c r="N3" s="1358"/>
      <c r="O3" s="913"/>
      <c r="P3" s="914"/>
      <c r="Q3" s="915"/>
      <c r="R3" s="914"/>
      <c r="S3" s="1121"/>
      <c r="T3" s="1121"/>
      <c r="W3" s="910"/>
      <c r="Y3" s="910"/>
      <c r="Z3" s="910"/>
      <c r="AA3" s="910"/>
      <c r="AB3" s="910"/>
      <c r="AC3" s="910"/>
      <c r="AD3" s="910"/>
      <c r="AE3" s="910"/>
      <c r="AF3" s="910"/>
      <c r="AG3" s="1013"/>
      <c r="AH3" s="1016"/>
      <c r="AI3" s="1014"/>
      <c r="AJ3" s="901"/>
      <c r="AK3" s="901"/>
      <c r="AL3" s="901"/>
      <c r="AM3" s="901"/>
      <c r="AN3" s="901"/>
    </row>
    <row r="4" spans="1:40" ht="18" customHeight="1" x14ac:dyDescent="0.25">
      <c r="A4" s="1122"/>
      <c r="B4" s="1122"/>
      <c r="C4" s="1122"/>
      <c r="D4" s="1122"/>
      <c r="E4" s="1122"/>
      <c r="F4" s="1122"/>
      <c r="G4" s="1122"/>
      <c r="H4" s="1122"/>
      <c r="I4" s="1122"/>
      <c r="J4" s="1122"/>
      <c r="K4" s="1122"/>
      <c r="L4" s="1122"/>
      <c r="M4" s="1122"/>
      <c r="N4" s="1122"/>
      <c r="O4" s="1122"/>
      <c r="P4" s="1122"/>
      <c r="Q4" s="1122"/>
      <c r="R4" s="1122"/>
      <c r="S4" s="1122"/>
      <c r="T4" s="1122"/>
      <c r="W4" s="988"/>
      <c r="Y4" s="988"/>
      <c r="Z4" s="988"/>
      <c r="AA4" s="988"/>
      <c r="AB4" s="988"/>
      <c r="AC4" s="988"/>
      <c r="AD4" s="988"/>
      <c r="AE4" s="988"/>
      <c r="AF4" s="988"/>
      <c r="AG4" s="1017"/>
    </row>
    <row r="5" spans="1:40" s="3" customFormat="1" ht="18.75" thickBot="1" x14ac:dyDescent="0.3">
      <c r="A5" s="1123">
        <f>'АКСИ DDP'!A5</f>
        <v>0</v>
      </c>
      <c r="B5" s="1123"/>
      <c r="C5" s="1123"/>
      <c r="D5" s="1123"/>
      <c r="E5" s="1124"/>
      <c r="F5" s="1123"/>
      <c r="G5" s="1123"/>
      <c r="H5" s="1123"/>
      <c r="I5" s="1123"/>
      <c r="J5" s="1123"/>
      <c r="K5" s="1123"/>
      <c r="L5" s="1123"/>
      <c r="M5" s="1123"/>
      <c r="N5" s="1125"/>
      <c r="O5" s="1125"/>
      <c r="P5" s="1125"/>
      <c r="Q5" s="1125"/>
      <c r="R5" s="1125"/>
      <c r="S5" s="1125"/>
      <c r="T5" s="1125"/>
      <c r="W5" s="993"/>
      <c r="Y5" s="993"/>
      <c r="Z5" s="993"/>
      <c r="AA5" s="993"/>
      <c r="AB5" s="993"/>
      <c r="AC5" s="993"/>
      <c r="AD5" s="993"/>
      <c r="AE5" s="993"/>
      <c r="AF5" s="993"/>
      <c r="AG5" s="1018"/>
      <c r="AH5" s="1019"/>
      <c r="AI5" s="1098"/>
      <c r="AJ5" s="902"/>
      <c r="AK5" s="902"/>
      <c r="AL5" s="902"/>
      <c r="AM5" s="902"/>
      <c r="AN5" s="902"/>
    </row>
    <row r="6" spans="1:40" ht="72.75" customHeight="1" thickBot="1" x14ac:dyDescent="0.4">
      <c r="A6" s="1359" t="s">
        <v>0</v>
      </c>
      <c r="B6" s="1360" t="s">
        <v>1</v>
      </c>
      <c r="C6" s="1361" t="s">
        <v>2</v>
      </c>
      <c r="D6" s="1362" t="s">
        <v>3</v>
      </c>
      <c r="E6" s="1363" t="s">
        <v>88</v>
      </c>
      <c r="F6" s="1261" t="s">
        <v>36</v>
      </c>
      <c r="G6" s="1261" t="s">
        <v>57</v>
      </c>
      <c r="H6" s="1092"/>
      <c r="I6" s="1261" t="s">
        <v>582</v>
      </c>
      <c r="J6" s="1261" t="s">
        <v>56</v>
      </c>
      <c r="K6" s="1364" t="s">
        <v>49</v>
      </c>
      <c r="L6" s="1365"/>
      <c r="M6" s="1366"/>
      <c r="N6" s="1367" t="s">
        <v>48</v>
      </c>
      <c r="O6" s="1368"/>
      <c r="P6" s="1369" t="s">
        <v>44</v>
      </c>
      <c r="Q6" s="1370"/>
      <c r="R6" s="1364" t="s">
        <v>760</v>
      </c>
      <c r="S6" s="1365"/>
      <c r="T6" s="1366"/>
      <c r="W6" s="910"/>
      <c r="X6" s="27"/>
      <c r="Y6" s="910"/>
      <c r="Z6" s="989"/>
      <c r="AA6" s="989"/>
      <c r="AB6" s="989"/>
      <c r="AC6" s="989"/>
      <c r="AD6" s="989"/>
      <c r="AE6" s="989"/>
      <c r="AF6" s="989"/>
      <c r="AG6" s="1020"/>
    </row>
    <row r="7" spans="1:40" ht="54.75" customHeight="1" thickBot="1" x14ac:dyDescent="0.3">
      <c r="A7" s="1251"/>
      <c r="B7" s="1253"/>
      <c r="C7" s="1255"/>
      <c r="D7" s="1257"/>
      <c r="E7" s="1259"/>
      <c r="F7" s="1261"/>
      <c r="G7" s="1262"/>
      <c r="H7" s="463"/>
      <c r="I7" s="1263"/>
      <c r="J7" s="1263"/>
      <c r="K7" s="43" t="s">
        <v>5</v>
      </c>
      <c r="L7" s="54" t="s">
        <v>17</v>
      </c>
      <c r="M7" s="64" t="s">
        <v>18</v>
      </c>
      <c r="N7" s="461" t="s">
        <v>47</v>
      </c>
      <c r="O7" s="462" t="s">
        <v>18</v>
      </c>
      <c r="P7" s="449" t="s">
        <v>43</v>
      </c>
      <c r="Q7" s="447" t="s">
        <v>42</v>
      </c>
      <c r="R7" s="468" t="s">
        <v>6</v>
      </c>
      <c r="S7" s="469" t="s">
        <v>18</v>
      </c>
      <c r="T7" s="470" t="s">
        <v>22</v>
      </c>
      <c r="U7" s="1194"/>
      <c r="V7" s="1151"/>
      <c r="W7" s="1194"/>
      <c r="X7" s="1194"/>
      <c r="Y7" s="1151"/>
      <c r="Z7" s="1151"/>
      <c r="AA7" s="1152"/>
      <c r="AB7" s="990"/>
      <c r="AC7" s="990"/>
      <c r="AD7" s="990"/>
      <c r="AE7" s="990"/>
      <c r="AF7" s="990"/>
      <c r="AG7" s="1021"/>
      <c r="AH7" s="1019"/>
      <c r="AI7" s="1019"/>
    </row>
    <row r="8" spans="1:40" ht="29.25" customHeight="1" thickBot="1" x14ac:dyDescent="0.3">
      <c r="A8" s="35" t="s">
        <v>41</v>
      </c>
      <c r="B8" s="252">
        <v>1200</v>
      </c>
      <c r="C8" s="250">
        <v>600</v>
      </c>
      <c r="D8" s="251">
        <v>50</v>
      </c>
      <c r="E8" s="254" t="s">
        <v>233</v>
      </c>
      <c r="F8" s="604" t="str">
        <f>IF(OR('ЛАЙТ Рязань'!$T$7="Завод 'ТЕХНО' г.Рязань",'ЛАЙТ Рязань'!$T$7="Завод 'ТЕХНО' г.Заинск"),'ЛАЙТ Рязань'!F8,'ЛАЙТ Юрга'!F8)</f>
        <v>Б</v>
      </c>
      <c r="G8" s="111"/>
      <c r="H8" s="115"/>
      <c r="I8" s="1179" t="str">
        <f>IF(OR('ЛАЙТ Рязань'!$T$7="Завод 'ТЕХНО' г.Рязань",'ЛАЙТ Рязань'!$T$7="Завод 'ТЕХНО' г.Заинск"),'ЛАЙТ Рязань'!G8,'ЛАЙТ Юрга'!G8)</f>
        <v xml:space="preserve"> </v>
      </c>
      <c r="J8" s="259" t="s">
        <v>82</v>
      </c>
      <c r="K8" s="131">
        <v>12</v>
      </c>
      <c r="L8" s="166">
        <f t="shared" ref="L8:L16" si="0">B8*C8*K8/1000000</f>
        <v>8.64</v>
      </c>
      <c r="M8" s="126">
        <f t="shared" ref="M8:M16" si="1">L8*D8/1000</f>
        <v>0.432</v>
      </c>
      <c r="N8" s="133">
        <v>20</v>
      </c>
      <c r="O8" s="172">
        <f>M8*N8</f>
        <v>8.64</v>
      </c>
      <c r="P8" s="231">
        <v>95.04</v>
      </c>
      <c r="Q8" s="443"/>
      <c r="R8" s="88">
        <f>IFERROR(M8*S8,"---")</f>
        <v>697.68</v>
      </c>
      <c r="S8" s="99">
        <f>IFERROR(IF(OR('ЛАЙТ Рязань'!$T$7="Завод 'ТЕХНО' г.Рязань",'ЛАЙТ Рязань'!$T$7="Завод 'ТЕХНО' г.Заинск"),IF('ЛАЙТ Рязань'!$T$7="Завод 'ТЕХНО' г.Рязань",'ЛАЙТ Рязань'!R8*(1-'ЛАЙТ Рязань'!$V$5-'ЛАЙТ Рязань'!V8)+IFERROR(SEARCH("комп",J8)/SEARCH("комп",J8)*'ЛАЙТ Рязань'!$R$5,'ЛАЙТ Рязань'!S$5),'ЛАЙТ Заинск'!R8*(1-'ЛАЙТ Рязань'!$V$5-'ЛАЙТ Рязань'!V8)+IFERROR(SEARCH("комп",J8)/SEARCH("комп",J8)*'ЛАЙТ Рязань'!$R$5,'ЛАЙТ Рязань'!S$5)),'ЛАЙТ Юрга'!R8*(1-'ЛАЙТ Рязань'!$V$5-'ЛАЙТ Рязань'!V8)+IFERROR(SEARCH("комп",J8)/SEARCH("комп",J8)*'ЛАЙТ Рязань'!$R$5,'ЛАЙТ Рязань'!S$5)),"нет")</f>
        <v>1615</v>
      </c>
      <c r="T8" s="101">
        <f>IFERROR(S8*D8/1000,"---")</f>
        <v>80.75</v>
      </c>
      <c r="U8" s="1228"/>
      <c r="V8" s="1229"/>
      <c r="W8" s="1228"/>
      <c r="X8" s="1235"/>
      <c r="Y8" s="1154"/>
      <c r="Z8" s="1156"/>
      <c r="AA8" s="1157"/>
      <c r="AB8" s="991"/>
      <c r="AC8" s="991"/>
      <c r="AD8" s="991"/>
      <c r="AE8" s="991"/>
      <c r="AF8" s="991"/>
      <c r="AG8" s="1022"/>
      <c r="AH8" s="1103"/>
      <c r="AI8" s="953"/>
    </row>
    <row r="9" spans="1:40" ht="22.5" customHeight="1" thickBot="1" x14ac:dyDescent="0.3">
      <c r="A9" s="76"/>
      <c r="B9" s="203">
        <v>1200</v>
      </c>
      <c r="C9" s="204">
        <v>600</v>
      </c>
      <c r="D9" s="209">
        <v>50</v>
      </c>
      <c r="E9" s="663" t="s">
        <v>234</v>
      </c>
      <c r="F9" s="604" t="str">
        <f>IF(OR('ЛАЙТ Рязань'!$T$7="Завод 'ТЕХНО' г.Рязань",'ЛАЙТ Рязань'!$T$7="Завод 'ТЕХНО' г.Заинск"),'ЛАЙТ Рязань'!F9,'ЛАЙТ Юрга'!F9)</f>
        <v>А</v>
      </c>
      <c r="G9" s="205"/>
      <c r="H9" s="124"/>
      <c r="I9" s="1179"/>
      <c r="J9" s="124" t="s">
        <v>83</v>
      </c>
      <c r="K9" s="125">
        <v>12</v>
      </c>
      <c r="L9" s="166">
        <f t="shared" si="0"/>
        <v>8.64</v>
      </c>
      <c r="M9" s="126">
        <f t="shared" si="1"/>
        <v>0.432</v>
      </c>
      <c r="N9" s="133">
        <v>16</v>
      </c>
      <c r="O9" s="172">
        <f>M9*N9</f>
        <v>6.9119999999999999</v>
      </c>
      <c r="P9" s="231">
        <v>76.031999999999996</v>
      </c>
      <c r="Q9" s="126"/>
      <c r="R9" s="88">
        <f t="shared" ref="R9:R68" si="2">IFERROR(M9*S9,"---")</f>
        <v>625.96799999999996</v>
      </c>
      <c r="S9" s="888">
        <f>IFERROR(IF(OR('ЛАЙТ Рязань'!$T$7="Завод 'ТЕХНО' г.Рязань",'ЛАЙТ Рязань'!$T$7="Завод 'ТЕХНО' г.Заинск"),IF('ЛАЙТ Рязань'!$T$7="Завод 'ТЕХНО' г.Рязань",'ЛАЙТ Рязань'!R9*(1-'ЛАЙТ Рязань'!$V$5-'ЛАЙТ Рязань'!V9)+IFERROR(SEARCH("комп",J9)/SEARCH("комп",J9)*'ЛАЙТ Рязань'!$R$5,'ЛАЙТ Рязань'!O$5),'ЛАЙТ Заинск'!R9*(1-'ЛАЙТ Рязань'!$V$5-'ЛАЙТ Рязань'!V9)+IFERROR(SEARCH("комп",J9)/SEARCH("комп",J9)*'ЛАЙТ Рязань'!$R$5,'ЛАЙТ Рязань'!O$5)),'ЛАЙТ Юрга'!R9*(1-'ЛАЙТ Рязань'!$V$5-'ЛАЙТ Рязань'!V9)+IFERROR(SEARCH("комп",J9)/SEARCH("комп",J9)*'ЛАЙТ Рязань'!$R$5,'ЛАЙТ Рязань'!O$5)),"нет")</f>
        <v>1449</v>
      </c>
      <c r="T9" s="101">
        <f t="shared" ref="T9:T68" si="3">IFERROR(S9*D9/1000,"---")</f>
        <v>72.45</v>
      </c>
      <c r="U9" s="1228"/>
      <c r="V9" s="1229"/>
      <c r="W9" s="1228"/>
      <c r="X9" s="1235"/>
      <c r="Y9" s="1155"/>
      <c r="Z9" s="1156"/>
      <c r="AA9" s="1157"/>
      <c r="AB9" s="991"/>
      <c r="AC9" s="991"/>
      <c r="AD9" s="991"/>
      <c r="AE9" s="991"/>
      <c r="AF9" s="991"/>
      <c r="AG9" s="1022"/>
      <c r="AH9" s="1023"/>
      <c r="AI9" s="953"/>
    </row>
    <row r="10" spans="1:40" ht="22.5" customHeight="1" thickBot="1" x14ac:dyDescent="0.3">
      <c r="A10" s="76"/>
      <c r="B10" s="203">
        <v>1200</v>
      </c>
      <c r="C10" s="204">
        <v>600</v>
      </c>
      <c r="D10" s="209">
        <v>50</v>
      </c>
      <c r="E10" s="663" t="s">
        <v>442</v>
      </c>
      <c r="F10" s="604" t="str">
        <f>IF(OR('ЛАЙТ Рязань'!$T$7="Завод 'ТЕХНО' г.Рязань",'ЛАЙТ Рязань'!$T$7="Завод 'ТЕХНО' г.Заинск"),'ЛАЙТ Рязань'!F10,'ЛАЙТ Юрга'!F10)</f>
        <v>А</v>
      </c>
      <c r="G10" s="205"/>
      <c r="H10" s="124"/>
      <c r="I10" s="1179" t="str">
        <f>IF(OR('ЛАЙТ Рязань'!$T$7="Завод 'ТЕХНО' г.Рязань",'ЛАЙТ Рязань'!$T$7="Завод 'ТЕХНО' г.Заинск"),'ЛАЙТ Рязань'!G10,'ЛАЙТ Юрга'!G10)</f>
        <v xml:space="preserve"> </v>
      </c>
      <c r="J10" s="124" t="s">
        <v>83</v>
      </c>
      <c r="K10" s="125">
        <v>8</v>
      </c>
      <c r="L10" s="166">
        <f t="shared" si="0"/>
        <v>5.76</v>
      </c>
      <c r="M10" s="126">
        <f t="shared" si="1"/>
        <v>0.28799999999999998</v>
      </c>
      <c r="N10" s="133">
        <v>24</v>
      </c>
      <c r="O10" s="172">
        <f t="shared" ref="O10:O13" si="4">M10*N10</f>
        <v>6.911999999999999</v>
      </c>
      <c r="P10" s="231">
        <v>76.031999999999996</v>
      </c>
      <c r="Q10" s="126"/>
      <c r="R10" s="827">
        <f t="shared" si="2"/>
        <v>417.31199999999995</v>
      </c>
      <c r="S10" s="792">
        <f>IFERROR(IF(OR('ЛАЙТ Рязань'!$T$7="Завод 'ТЕХНО' г.Рязань",'ЛАЙТ Рязань'!$T$7="Завод 'ТЕХНО' г.Заинск"),IF('ЛАЙТ Рязань'!$T$7="Завод 'ТЕХНО' г.Рязань",'ЛАЙТ Рязань'!R10*(1-'ЛАЙТ Рязань'!$V$5-'ЛАЙТ Рязань'!V10)+IFERROR(SEARCH("комп",J10)/SEARCH("комп",J10)*'ЛАЙТ Рязань'!$R$5,'ЛАЙТ Рязань'!O$5),'ЛАЙТ Заинск'!R10*(1-'ЛАЙТ Рязань'!$V$5-'ЛАЙТ Рязань'!V10)+IFERROR(SEARCH("комп",J10)/SEARCH("комп",J10)*'ЛАЙТ Рязань'!$R$5,'ЛАЙТ Рязань'!O$5)),'ЛАЙТ Юрга'!R10*(1-'ЛАЙТ Рязань'!$V$5-'ЛАЙТ Рязань'!V10)+IFERROR(SEARCH("комп",J10)/SEARCH("комп",J10)*'ЛАЙТ Рязань'!$R$5,'ЛАЙТ Рязань'!O$5)),"нет")</f>
        <v>1449</v>
      </c>
      <c r="T10" s="828">
        <f t="shared" si="3"/>
        <v>72.45</v>
      </c>
      <c r="U10" s="1228"/>
      <c r="V10" s="1229"/>
      <c r="W10" s="1228"/>
      <c r="X10" s="1235"/>
      <c r="Y10" s="1155"/>
      <c r="Z10" s="1156"/>
      <c r="AA10" s="1157"/>
      <c r="AB10" s="991"/>
      <c r="AC10" s="991"/>
      <c r="AD10" s="991"/>
      <c r="AE10" s="991"/>
      <c r="AF10" s="991"/>
      <c r="AG10" s="1022"/>
      <c r="AH10" s="1023"/>
      <c r="AI10" s="953"/>
    </row>
    <row r="11" spans="1:40" ht="22.5" customHeight="1" thickBot="1" x14ac:dyDescent="0.3">
      <c r="A11" s="877"/>
      <c r="B11" s="203">
        <v>1200</v>
      </c>
      <c r="C11" s="204">
        <v>600</v>
      </c>
      <c r="D11" s="209">
        <v>50</v>
      </c>
      <c r="E11" s="826" t="s">
        <v>462</v>
      </c>
      <c r="F11" s="604" t="str">
        <f>IF(OR('ЛАЙТ Рязань'!$T$7="Завод 'ТЕХНО' г.Рязань",'ЛАЙТ Рязань'!$T$7="Завод 'ТЕХНО' г.Заинск"),'ЛАЙТ Рязань'!F11,'ЛАЙТ Юрга'!F11)</f>
        <v>А</v>
      </c>
      <c r="G11" s="205"/>
      <c r="H11" s="124"/>
      <c r="I11" s="1179"/>
      <c r="J11" s="124" t="s">
        <v>178</v>
      </c>
      <c r="K11" s="125">
        <v>12</v>
      </c>
      <c r="L11" s="166">
        <f t="shared" ref="L11" si="5">B11*C11*K11/1000000</f>
        <v>8.64</v>
      </c>
      <c r="M11" s="126">
        <f t="shared" ref="M11" si="6">L11*D11/1000</f>
        <v>0.432</v>
      </c>
      <c r="N11" s="133">
        <v>24</v>
      </c>
      <c r="O11" s="172">
        <f t="shared" ref="O11" si="7">M11*N11</f>
        <v>10.368</v>
      </c>
      <c r="P11" s="231">
        <f>O11*11</f>
        <v>114.048</v>
      </c>
      <c r="Q11" s="126"/>
      <c r="R11" s="88">
        <f t="shared" si="2"/>
        <v>631.58399999999995</v>
      </c>
      <c r="S11" s="1198">
        <f>IFERROR(IF(OR('ЛАЙТ Рязань'!$T$7="Завод 'ТЕХНО' г.Рязань",'ЛАЙТ Рязань'!$T$7="Завод 'ТЕХНО' г.Заинск"),IF('ЛАЙТ Рязань'!$T$7="Завод 'ТЕХНО' г.Рязань",'ЛАЙТ Рязань'!R11*(1-'ЛАЙТ Рязань'!$V$5-'ЛАЙТ Рязань'!V11)+IFERROR(SEARCH("комп",J11)/SEARCH("комп",J11)*'ЛАЙТ Рязань'!$R$5,'ЛАЙТ Рязань'!S$5),'ЛАЙТ Заинск'!R11*(1-'ЛАЙТ Рязань'!$V$5-'ЛАЙТ Рязань'!V11)+IFERROR(SEARCH("комп",J11)/SEARCH("комп",J11)*'ЛАЙТ Рязань'!$R$71,'ЛАЙТ Рязань'!R$71)),'ЛАЙТ Юрга'!R11*(1-'ЛАЙТ Рязань'!$V$5-'ЛАЙТ Рязань'!V11)+IFERROR(SEARCH("комп",J11)/SEARCH("комп",J11)*'ЛАЙТ Рязань'!$R$5,'ЛАЙТ Рязань'!S$5)),"нет")</f>
        <v>1462</v>
      </c>
      <c r="T11" s="101">
        <f t="shared" si="3"/>
        <v>73.099999999999994</v>
      </c>
      <c r="U11" s="1228"/>
      <c r="V11" s="1229"/>
      <c r="W11" s="1228"/>
      <c r="X11" s="1235"/>
      <c r="Y11" s="1155"/>
      <c r="Z11" s="1156"/>
      <c r="AA11" s="1157"/>
      <c r="AB11" s="991"/>
      <c r="AC11" s="991"/>
      <c r="AD11" s="991"/>
      <c r="AE11" s="991"/>
      <c r="AF11" s="991"/>
      <c r="AG11" s="1022"/>
      <c r="AH11" s="1023"/>
      <c r="AI11" s="953"/>
    </row>
    <row r="12" spans="1:40" ht="22.5" customHeight="1" thickBot="1" x14ac:dyDescent="0.3">
      <c r="A12" s="76"/>
      <c r="B12" s="203">
        <v>1200</v>
      </c>
      <c r="C12" s="204">
        <v>600</v>
      </c>
      <c r="D12" s="209">
        <v>50</v>
      </c>
      <c r="E12" s="663" t="s">
        <v>609</v>
      </c>
      <c r="F12" s="604" t="str">
        <f>IF(OR('ЛАЙТ Рязань'!$T$7="Завод 'ТЕХНО' г.Рязань",'ЛАЙТ Рязань'!$T$7="Завод 'ТЕХНО' г.Заинск"),'ЛАЙТ Рязань'!F12,'ЛАЙТ Юрга'!F12)</f>
        <v>Б</v>
      </c>
      <c r="G12" s="205"/>
      <c r="H12" s="124"/>
      <c r="I12" s="1179" t="str">
        <f>IF(OR('ЛАЙТ Рязань'!$T$7="Завод 'ТЕХНО' г.Рязань",'ЛАЙТ Рязань'!$T$7="Завод 'ТЕХНО' г.Заинск"),'ЛАЙТ Рязань'!G12,'ЛАЙТ Юрга'!G12)</f>
        <v xml:space="preserve"> </v>
      </c>
      <c r="J12" s="124" t="s">
        <v>179</v>
      </c>
      <c r="K12" s="125">
        <v>6</v>
      </c>
      <c r="L12" s="166">
        <f t="shared" si="0"/>
        <v>4.32</v>
      </c>
      <c r="M12" s="126">
        <f t="shared" si="1"/>
        <v>0.216</v>
      </c>
      <c r="N12" s="133">
        <v>32</v>
      </c>
      <c r="O12" s="172">
        <f t="shared" si="4"/>
        <v>6.9119999999999999</v>
      </c>
      <c r="P12" s="231">
        <f>O12*11</f>
        <v>76.031999999999996</v>
      </c>
      <c r="Q12" s="126"/>
      <c r="R12" s="88" t="str">
        <f t="shared" si="2"/>
        <v>---</v>
      </c>
      <c r="S12" s="888" t="str">
        <f>IFERROR(IF(OR('ЛАЙТ Рязань'!$T$7="Завод 'ТЕХНО' г.Рязань",'ЛАЙТ Рязань'!$T$7="Завод 'ТЕХНО' г.Заинск"),IF('ЛАЙТ Рязань'!$T$7="Завод 'ТЕХНО' г.Рязань",'ЛАЙТ Рязань'!R12*(1-'ЛАЙТ Рязань'!$V$5-'ЛАЙТ Рязань'!V12)+IFERROR(SEARCH("комп",J12)/SEARCH("комп",J12)*'ЛАЙТ Рязань'!$R$5,'ЛАЙТ Рязань'!O$5),'ЛАЙТ Заинск'!R12*(1-'ЛАЙТ Рязань'!$V$5-'ЛАЙТ Рязань'!V12)+IFERROR(SEARCH("комп",J12)/SEARCH("комп",J12)*'ЛАЙТ Рязань'!$R$5,'ЛАЙТ Рязань'!O$5)),'ЛАЙТ Юрга'!R12*(1-'ЛАЙТ Рязань'!$V$5-'ЛАЙТ Рязань'!V12)+IFERROR(SEARCH("комп",J12)/SEARCH("комп",J12)*'ЛАЙТ Рязань'!$R$5,'ЛАЙТ Рязань'!O$5)),"нет")</f>
        <v>нет</v>
      </c>
      <c r="T12" s="101" t="str">
        <f t="shared" si="3"/>
        <v>---</v>
      </c>
      <c r="U12" s="1228"/>
      <c r="V12" s="1229"/>
      <c r="W12" s="1228"/>
      <c r="X12" s="1235"/>
      <c r="Y12" s="1155"/>
      <c r="Z12" s="1156"/>
      <c r="AA12" s="1157"/>
      <c r="AB12" s="991"/>
      <c r="AC12" s="991"/>
      <c r="AD12" s="991"/>
      <c r="AE12" s="991"/>
      <c r="AF12" s="991"/>
      <c r="AG12" s="1022"/>
      <c r="AH12" s="1023"/>
      <c r="AI12" s="953"/>
    </row>
    <row r="13" spans="1:40" ht="22.5" customHeight="1" thickBot="1" x14ac:dyDescent="0.3">
      <c r="A13" s="1246" t="s">
        <v>31</v>
      </c>
      <c r="B13" s="203">
        <v>1200</v>
      </c>
      <c r="C13" s="204">
        <v>600</v>
      </c>
      <c r="D13" s="209">
        <v>75</v>
      </c>
      <c r="E13" s="254" t="s">
        <v>242</v>
      </c>
      <c r="F13" s="604" t="str">
        <f>IF(OR('ЛАЙТ Рязань'!$T$7="Завод 'ТЕХНО' г.Рязань",'ЛАЙТ Рязань'!$T$7="Завод 'ТЕХНО' г.Заинск"),'ЛАЙТ Рязань'!F13,'ЛАЙТ Юрга'!F13)</f>
        <v>С</v>
      </c>
      <c r="G13" s="604">
        <f>IF(OR('ЛАЙТ Рязань'!$T$7="Завод 'ТЕХНО' г.Рязань",'ЛАЙТ Рязань'!$T$7="Завод 'ТЕХНО' г.Заинск"),'ЛАЙТ Рязань'!G13,'ЛАЙТ Юрга'!G13)</f>
        <v>290.30399999999997</v>
      </c>
      <c r="H13" s="604">
        <f>IF(OR('ЛАЙТ Рязань'!$T$7="Завод 'ТЕХНО' г.Рязань",'ЛАЙТ Рязань'!$T$7="Завод 'ТЕХНО' г.Заинск"),'ЛАЙТ Рязань'!H13,'ЛАЙТ Юрга'!H13)</f>
        <v>42</v>
      </c>
      <c r="I13" s="1179">
        <f>IF(OR('ЛАЙТ Рязань'!$T$7="Завод 'ТЕХНО' г.Рязань",'ЛАЙТ Рязань'!$T$7="Завод 'ТЕХНО' г.Заинск"),'ЛАЙТ Рязань'!G13,'ЛАЙТ Юрга'!G13)</f>
        <v>290.30399999999997</v>
      </c>
      <c r="J13" s="124" t="s">
        <v>83</v>
      </c>
      <c r="K13" s="125">
        <v>8</v>
      </c>
      <c r="L13" s="166">
        <f t="shared" si="0"/>
        <v>5.76</v>
      </c>
      <c r="M13" s="126">
        <f t="shared" si="1"/>
        <v>0.432</v>
      </c>
      <c r="N13" s="127">
        <v>16</v>
      </c>
      <c r="O13" s="172">
        <f t="shared" si="4"/>
        <v>6.9119999999999999</v>
      </c>
      <c r="P13" s="231">
        <f>O13*11</f>
        <v>76.031999999999996</v>
      </c>
      <c r="Q13" s="126"/>
      <c r="R13" s="88">
        <f t="shared" si="2"/>
        <v>625.96799999999996</v>
      </c>
      <c r="S13" s="888">
        <f>IFERROR(IF(OR('ЛАЙТ Рязань'!$T$7="Завод 'ТЕХНО' г.Рязань",'ЛАЙТ Рязань'!$T$7="Завод 'ТЕХНО' г.Заинск"),IF('ЛАЙТ Рязань'!$T$7="Завод 'ТЕХНО' г.Рязань",'ЛАЙТ Рязань'!R13*(1-'ЛАЙТ Рязань'!$V$5-'ЛАЙТ Рязань'!V13)+IFERROR(SEARCH("комп",J13)/SEARCH("комп",J13)*'ЛАЙТ Рязань'!$R$5,'ЛАЙТ Рязань'!O$5),'ЛАЙТ Заинск'!R13*(1-'ЛАЙТ Рязань'!$V$5-'ЛАЙТ Рязань'!V13)+IFERROR(SEARCH("комп",J13)/SEARCH("комп",J13)*'ЛАЙТ Рязань'!$R$5,'ЛАЙТ Рязань'!O$5)),'ЛАЙТ Юрга'!R13*(1-'ЛАЙТ Рязань'!$V$5-'ЛАЙТ Рязань'!V13)+IFERROR(SEARCH("комп",J13)/SEARCH("комп",J13)*'ЛАЙТ Рязань'!$R$5,'ЛАЙТ Рязань'!O$5)),"нет")</f>
        <v>1449</v>
      </c>
      <c r="T13" s="101">
        <f t="shared" si="3"/>
        <v>108.675</v>
      </c>
      <c r="U13" s="1228"/>
      <c r="V13" s="1229"/>
      <c r="W13" s="1228"/>
      <c r="X13" s="1235"/>
      <c r="Y13" s="1155"/>
      <c r="Z13" s="1156"/>
      <c r="AA13" s="1157"/>
      <c r="AB13" s="991"/>
      <c r="AC13" s="991"/>
      <c r="AD13" s="991"/>
      <c r="AE13" s="991"/>
      <c r="AF13" s="991"/>
      <c r="AG13" s="1022"/>
      <c r="AH13" s="1023"/>
      <c r="AI13" s="953"/>
    </row>
    <row r="14" spans="1:40" ht="22.5" customHeight="1" thickBot="1" x14ac:dyDescent="0.3">
      <c r="A14" s="1246"/>
      <c r="B14" s="203">
        <v>1200</v>
      </c>
      <c r="C14" s="204">
        <v>600</v>
      </c>
      <c r="D14" s="209">
        <v>100</v>
      </c>
      <c r="E14" s="830" t="s">
        <v>232</v>
      </c>
      <c r="F14" s="604" t="str">
        <f>IF(OR('ЛАЙТ Рязань'!$T$7="Завод 'ТЕХНО' г.Рязань",'ЛАЙТ Рязань'!$T$7="Завод 'ТЕХНО' г.Заинск"),'ЛАЙТ Рязань'!F14,'ЛАЙТ Юрга'!F14)</f>
        <v>А</v>
      </c>
      <c r="G14" s="205"/>
      <c r="H14" s="124">
        <v>0</v>
      </c>
      <c r="I14" s="1179" t="str">
        <f>IF(OR('ЛАЙТ Рязань'!$T$7="Завод 'ТЕХНО' г.Рязань",'ЛАЙТ Рязань'!$T$7="Завод 'ТЕХНО' г.Заинск"),'ЛАЙТ Рязань'!G14,'ЛАЙТ Юрга'!G14)</f>
        <v xml:space="preserve"> </v>
      </c>
      <c r="J14" s="221" t="s">
        <v>83</v>
      </c>
      <c r="K14" s="125">
        <v>6</v>
      </c>
      <c r="L14" s="166">
        <f t="shared" si="0"/>
        <v>4.32</v>
      </c>
      <c r="M14" s="126">
        <f t="shared" si="1"/>
        <v>0.432</v>
      </c>
      <c r="N14" s="127">
        <v>16</v>
      </c>
      <c r="O14" s="172">
        <f t="shared" ref="O14" si="8">M14*N14</f>
        <v>6.9119999999999999</v>
      </c>
      <c r="P14" s="231">
        <f>O14*11</f>
        <v>76.031999999999996</v>
      </c>
      <c r="Q14" s="126"/>
      <c r="R14" s="88">
        <f t="shared" si="2"/>
        <v>625.96799999999996</v>
      </c>
      <c r="S14" s="888">
        <f>IFERROR(IF(OR('ЛАЙТ Рязань'!$T$7="Завод 'ТЕХНО' г.Рязань",'ЛАЙТ Рязань'!$T$7="Завод 'ТЕХНО' г.Заинск"),IF('ЛАЙТ Рязань'!$T$7="Завод 'ТЕХНО' г.Рязань",'ЛАЙТ Рязань'!R14*(1-'ЛАЙТ Рязань'!$V$5-'ЛАЙТ Рязань'!V14)+IFERROR(SEARCH("комп",J14)/SEARCH("комп",J14)*'ЛАЙТ Рязань'!$R$5,'ЛАЙТ Рязань'!O$5),'ЛАЙТ Заинск'!R14*(1-'ЛАЙТ Рязань'!$V$5-'ЛАЙТ Рязань'!V14)+IFERROR(SEARCH("комп",J14)/SEARCH("комп",J14)*'ЛАЙТ Рязань'!$R$5,'ЛАЙТ Рязань'!O$5)),'ЛАЙТ Юрга'!R14*(1-'ЛАЙТ Рязань'!$V$5-'ЛАЙТ Рязань'!V14)+IFERROR(SEARCH("комп",J14)/SEARCH("комп",J14)*'ЛАЙТ Рязань'!$R$5,'ЛАЙТ Рязань'!O$5)),"нет")</f>
        <v>1449</v>
      </c>
      <c r="T14" s="101">
        <f t="shared" si="3"/>
        <v>144.9</v>
      </c>
      <c r="U14" s="1228"/>
      <c r="V14" s="1229"/>
      <c r="W14" s="1228"/>
      <c r="X14" s="1235"/>
      <c r="Y14" s="1155"/>
      <c r="Z14" s="1156"/>
      <c r="AA14" s="1157"/>
      <c r="AB14" s="991"/>
      <c r="AC14" s="991"/>
      <c r="AD14" s="991"/>
      <c r="AE14" s="991"/>
      <c r="AF14" s="991"/>
      <c r="AG14" s="1022"/>
      <c r="AH14" s="1023"/>
      <c r="AI14" s="953"/>
    </row>
    <row r="15" spans="1:40" ht="22.5" customHeight="1" thickBot="1" x14ac:dyDescent="0.3">
      <c r="A15" s="1247"/>
      <c r="B15" s="240">
        <v>1200</v>
      </c>
      <c r="C15" s="241">
        <v>600</v>
      </c>
      <c r="D15" s="242">
        <v>150</v>
      </c>
      <c r="E15" s="257" t="s">
        <v>485</v>
      </c>
      <c r="F15" s="604" t="str">
        <f>IF(OR('ЛАЙТ Рязань'!$T$7="Завод 'ТЕХНО' г.Рязань",'ЛАЙТ Рязань'!$T$7="Завод 'ТЕХНО' г.Заинск"),'ЛАЙТ Рязань'!F15,'ЛАЙТ Юрга'!F15)</f>
        <v>С</v>
      </c>
      <c r="G15" s="239">
        <v>344.82758620689657</v>
      </c>
      <c r="H15" s="239">
        <v>49.888250319284808</v>
      </c>
      <c r="I15" s="1180">
        <f>IF(OR('ЛАЙТ Рязань'!$T$7="Завод 'ТЕХНО' г.Рязань",'ЛАЙТ Рязань'!$T$7="Завод 'ТЕХНО' г.Заинск"),'ЛАЙТ Рязань'!G15,'ЛАЙТ Юрга'!G15)</f>
        <v>290.30399999999997</v>
      </c>
      <c r="J15" s="124" t="s">
        <v>83</v>
      </c>
      <c r="K15" s="128">
        <v>4</v>
      </c>
      <c r="L15" s="167">
        <f t="shared" si="0"/>
        <v>2.88</v>
      </c>
      <c r="M15" s="129">
        <f t="shared" si="1"/>
        <v>0.432</v>
      </c>
      <c r="N15" s="130">
        <v>16</v>
      </c>
      <c r="O15" s="174">
        <f t="shared" ref="O15:O30" si="9">M15*N15</f>
        <v>6.9119999999999999</v>
      </c>
      <c r="P15" s="260">
        <f t="shared" ref="P15:P70" si="10">O15*11</f>
        <v>76.031999999999996</v>
      </c>
      <c r="Q15" s="129"/>
      <c r="R15" s="479">
        <f t="shared" si="2"/>
        <v>625.96799999999996</v>
      </c>
      <c r="S15" s="871">
        <f>IFERROR(IF(OR('ЛАЙТ Рязань'!$T$7="Завод 'ТЕХНО' г.Рязань",'ЛАЙТ Рязань'!$T$7="Завод 'ТЕХНО' г.Заинск"),IF('ЛАЙТ Рязань'!$T$7="Завод 'ТЕХНО' г.Рязань",'ЛАЙТ Рязань'!R15*(1-'ЛАЙТ Рязань'!$V$5-'ЛАЙТ Рязань'!V15)+IFERROR(SEARCH("комп",J15)/SEARCH("комп",J15)*'ЛАЙТ Рязань'!$R$5,'ЛАЙТ Рязань'!O$5),'ЛАЙТ Заинск'!R15*(1-'ЛАЙТ Рязань'!$V$5-'ЛАЙТ Рязань'!V15)+IFERROR(SEARCH("комп",J15)/SEARCH("комп",J15)*'ЛАЙТ Рязань'!$R$5,'ЛАЙТ Рязань'!O$5)),'ЛАЙТ Юрга'!R15*(1-'ЛАЙТ Рязань'!$V$5-'ЛАЙТ Рязань'!V15)+IFERROR(SEARCH("комп",J15)/SEARCH("комп",J15)*'ЛАЙТ Рязань'!$R$5,'ЛАЙТ Рязань'!O$5)),"нет")</f>
        <v>1449</v>
      </c>
      <c r="T15" s="102">
        <f t="shared" si="3"/>
        <v>217.35</v>
      </c>
      <c r="U15" s="1228"/>
      <c r="V15" s="1229"/>
      <c r="W15" s="1228"/>
      <c r="X15" s="1235"/>
      <c r="Y15" s="1155"/>
      <c r="Z15" s="1156"/>
      <c r="AA15" s="1157"/>
      <c r="AB15" s="991"/>
      <c r="AC15" s="991"/>
      <c r="AD15" s="991"/>
      <c r="AE15" s="991"/>
      <c r="AF15" s="991"/>
      <c r="AG15" s="1022"/>
      <c r="AH15" s="1023"/>
      <c r="AI15" s="953"/>
    </row>
    <row r="16" spans="1:40" ht="30" customHeight="1" thickBot="1" x14ac:dyDescent="0.3">
      <c r="A16" s="1371" t="s">
        <v>84</v>
      </c>
      <c r="B16" s="203">
        <v>1200</v>
      </c>
      <c r="C16" s="204">
        <v>600</v>
      </c>
      <c r="D16" s="209">
        <v>50</v>
      </c>
      <c r="E16" s="254" t="s">
        <v>99</v>
      </c>
      <c r="F16" s="604" t="str">
        <f>IF(OR('ЛАЙТ Рязань'!$T$7="Завод 'ТЕХНО' г.Рязань",'ЛАЙТ Рязань'!$T$7="Завод 'ТЕХНО' г.Заинск"),'ЛАЙТ Рязань'!F16,'ЛАЙТ Юрга'!F16)</f>
        <v>А</v>
      </c>
      <c r="G16" s="256"/>
      <c r="H16" s="124">
        <v>0</v>
      </c>
      <c r="I16" s="1178" t="str">
        <f>IF(OR('ЛАЙТ Рязань'!$T$7="Завод 'ТЕХНО' г.Рязань",'ЛАЙТ Рязань'!$T$7="Завод 'ТЕХНО' г.Заинск"),'ЛАЙТ Рязань'!G16,'ЛАЙТ Юрга'!G16)</f>
        <v xml:space="preserve"> </v>
      </c>
      <c r="J16" s="124" t="s">
        <v>83</v>
      </c>
      <c r="K16" s="131">
        <v>12</v>
      </c>
      <c r="L16" s="166">
        <f t="shared" si="0"/>
        <v>8.64</v>
      </c>
      <c r="M16" s="126">
        <f t="shared" si="1"/>
        <v>0.432</v>
      </c>
      <c r="N16" s="133">
        <v>16</v>
      </c>
      <c r="O16" s="172">
        <f t="shared" ref="O16" si="11">M16*N16</f>
        <v>6.9119999999999999</v>
      </c>
      <c r="P16" s="231">
        <f t="shared" ref="P16" si="12">O16*11</f>
        <v>76.031999999999996</v>
      </c>
      <c r="Q16" s="126"/>
      <c r="R16" s="88">
        <f t="shared" ref="R16" si="13">IFERROR(M16*S16,"---")</f>
        <v>771.12</v>
      </c>
      <c r="S16" s="786">
        <f>IFERROR(IF(OR('ЛАЙТ Рязань'!$T$7="Завод 'ТЕХНО' г.Рязань",'ЛАЙТ Рязань'!$T$7="Завод 'ТЕХНО' г.Заинск"),IF('ЛАЙТ Рязань'!$T$7="Завод 'ТЕХНО' г.Рязань",'ЛАЙТ Рязань'!R16*(1-'ЛАЙТ Рязань'!$V$5-'ЛАЙТ Рязань'!V16)+IFERROR(SEARCH("комп",J16)/SEARCH("комп",J16)*'ЛАЙТ Рязань'!$R$5,'ЛАЙТ Рязань'!O$5),'ЛАЙТ Заинск'!R16*(1-'ЛАЙТ Рязань'!$V$5-'ЛАЙТ Рязань'!V16)+IFERROR(SEARCH("комп",J16)/SEARCH("комп",J16)*'ЛАЙТ Рязань'!$R$5,'ЛАЙТ Рязань'!O$5)),'ЛАЙТ Юрга'!R16*(1-'ЛАЙТ Рязань'!$V$5-'ЛАЙТ Рязань'!V16)+IFERROR(SEARCH("комп",J16)/SEARCH("комп",J16)*'ЛАЙТ Рязань'!$R$5,'ЛАЙТ Рязань'!O$5)),"нет")</f>
        <v>1785</v>
      </c>
      <c r="T16" s="101">
        <f t="shared" ref="T16" si="14">IFERROR(S16*D16/1000,"---")</f>
        <v>89.25</v>
      </c>
      <c r="U16" s="1228"/>
      <c r="V16" s="1229"/>
      <c r="W16" s="1228"/>
      <c r="X16" s="1235"/>
      <c r="Y16" s="1155"/>
      <c r="Z16" s="1156"/>
      <c r="AA16" s="1157"/>
      <c r="AB16" s="991"/>
      <c r="AC16" s="991"/>
      <c r="AD16" s="991"/>
      <c r="AE16" s="991"/>
      <c r="AF16" s="991"/>
      <c r="AG16" s="1022"/>
    </row>
    <row r="17" spans="1:35" ht="22.5" customHeight="1" thickBot="1" x14ac:dyDescent="0.3">
      <c r="A17" s="1371"/>
      <c r="B17" s="203">
        <v>1200</v>
      </c>
      <c r="C17" s="204">
        <v>600</v>
      </c>
      <c r="D17" s="209">
        <v>60</v>
      </c>
      <c r="E17" s="254" t="s">
        <v>100</v>
      </c>
      <c r="F17" s="604" t="str">
        <f>IF(OR('ЛАЙТ Рязань'!$T$7="Завод 'ТЕХНО' г.Рязань",'ЛАЙТ Рязань'!$T$7="Завод 'ТЕХНО' г.Заинск"),'ЛАЙТ Рязань'!F17,'ЛАЙТ Юрга'!F17)</f>
        <v>С</v>
      </c>
      <c r="G17" s="205">
        <v>322.58064516129031</v>
      </c>
      <c r="H17" s="124">
        <v>46.669653524492233</v>
      </c>
      <c r="I17" s="1179">
        <f>IF(OR('ЛАЙТ Рязань'!$T$7="Завод 'ТЕХНО' г.Рязань",'ЛАЙТ Рязань'!$T$7="Завод 'ТЕХНО' г.Заинск"),'ЛАЙТ Рязань'!G17,'ЛАЙТ Юрга'!G17)</f>
        <v>297.21600000000001</v>
      </c>
      <c r="J17" s="124" t="s">
        <v>83</v>
      </c>
      <c r="K17" s="125">
        <v>10</v>
      </c>
      <c r="L17" s="166">
        <f>B17*C17*K17/1000000</f>
        <v>7.2</v>
      </c>
      <c r="M17" s="126">
        <f>L17*D17/1000</f>
        <v>0.432</v>
      </c>
      <c r="N17" s="127">
        <v>16</v>
      </c>
      <c r="O17" s="172">
        <f t="shared" si="9"/>
        <v>6.9119999999999999</v>
      </c>
      <c r="P17" s="231">
        <f t="shared" si="10"/>
        <v>76.031999999999996</v>
      </c>
      <c r="Q17" s="126"/>
      <c r="R17" s="88">
        <f t="shared" si="2"/>
        <v>771.12</v>
      </c>
      <c r="S17" s="786">
        <f>IFERROR(IF(OR('ЛАЙТ Рязань'!$T$7="Завод 'ТЕХНО' г.Рязань",'ЛАЙТ Рязань'!$T$7="Завод 'ТЕХНО' г.Заинск"),IF('ЛАЙТ Рязань'!$T$7="Завод 'ТЕХНО' г.Рязань",'ЛАЙТ Рязань'!R17*(1-'ЛАЙТ Рязань'!$V$5-'ЛАЙТ Рязань'!V17)+IFERROR(SEARCH("комп",J17)/SEARCH("комп",J17)*'ЛАЙТ Рязань'!$R$5,'ЛАЙТ Рязань'!O$5),'ЛАЙТ Заинск'!R17*(1-'ЛАЙТ Рязань'!$V$5-'ЛАЙТ Рязань'!V17)+IFERROR(SEARCH("комп",J17)/SEARCH("комп",J17)*'ЛАЙТ Рязань'!$R$5,'ЛАЙТ Рязань'!O$5)),'ЛАЙТ Юрга'!R17*(1-'ЛАЙТ Рязань'!$V$5-'ЛАЙТ Рязань'!V17)+IFERROR(SEARCH("комп",J17)/SEARCH("комп",J17)*'ЛАЙТ Рязань'!$R$5,'ЛАЙТ Рязань'!O$5)),"нет")</f>
        <v>1785</v>
      </c>
      <c r="T17" s="101">
        <f t="shared" si="3"/>
        <v>107.1</v>
      </c>
      <c r="U17" s="1228"/>
      <c r="V17" s="1229"/>
      <c r="W17" s="1228"/>
      <c r="X17" s="1235"/>
      <c r="Y17" s="1155"/>
      <c r="Z17" s="1156"/>
      <c r="AA17" s="1157"/>
      <c r="AB17" s="991"/>
      <c r="AC17" s="991"/>
      <c r="AD17" s="991"/>
      <c r="AE17" s="991"/>
      <c r="AF17" s="991"/>
      <c r="AG17" s="1022"/>
    </row>
    <row r="18" spans="1:35" ht="22.5" customHeight="1" thickBot="1" x14ac:dyDescent="0.3">
      <c r="A18" s="1371"/>
      <c r="B18" s="203">
        <v>1200</v>
      </c>
      <c r="C18" s="204">
        <v>600</v>
      </c>
      <c r="D18" s="209">
        <v>70</v>
      </c>
      <c r="E18" s="254" t="s">
        <v>101</v>
      </c>
      <c r="F18" s="604" t="str">
        <f>IF(OR('ЛАЙТ Рязань'!$T$7="Завод 'ТЕХНО' г.Рязань",'ЛАЙТ Рязань'!$T$7="Завод 'ТЕХНО' г.Заинск"),'ЛАЙТ Рязань'!F18,'ЛАЙТ Юрга'!F18)</f>
        <v>С</v>
      </c>
      <c r="G18" s="205">
        <v>322.58064516129031</v>
      </c>
      <c r="H18" s="124">
        <v>50.003200204813105</v>
      </c>
      <c r="I18" s="1179">
        <f>IF(OR('ЛАЙТ Рязань'!$T$7="Завод 'ТЕХНО' г.Рязань",'ЛАЙТ Рязань'!$T$7="Завод 'ТЕХНО' г.Заинск"),'ЛАЙТ Рязань'!G18,'ЛАЙТ Юрга'!G18)</f>
        <v>296.7552</v>
      </c>
      <c r="J18" s="124" t="s">
        <v>83</v>
      </c>
      <c r="K18" s="125">
        <v>8</v>
      </c>
      <c r="L18" s="166">
        <f t="shared" ref="L18" si="15">B18*C18*K18/1000000</f>
        <v>5.76</v>
      </c>
      <c r="M18" s="126">
        <f t="shared" ref="M18" si="16">L18*D18/1000</f>
        <v>0.4032</v>
      </c>
      <c r="N18" s="127">
        <v>16</v>
      </c>
      <c r="O18" s="172">
        <f t="shared" si="9"/>
        <v>6.4512</v>
      </c>
      <c r="P18" s="231">
        <f t="shared" si="10"/>
        <v>70.963200000000001</v>
      </c>
      <c r="Q18" s="126"/>
      <c r="R18" s="88">
        <f t="shared" si="2"/>
        <v>719.71199999999999</v>
      </c>
      <c r="S18" s="786">
        <f>IFERROR(IF(OR('ЛАЙТ Рязань'!$T$7="Завод 'ТЕХНО' г.Рязань",'ЛАЙТ Рязань'!$T$7="Завод 'ТЕХНО' г.Заинск"),IF('ЛАЙТ Рязань'!$T$7="Завод 'ТЕХНО' г.Рязань",'ЛАЙТ Рязань'!R18*(1-'ЛАЙТ Рязань'!$V$5-'ЛАЙТ Рязань'!V18)+IFERROR(SEARCH("комп",J18)/SEARCH("комп",J18)*'ЛАЙТ Рязань'!$R$5,'ЛАЙТ Рязань'!O$5),'ЛАЙТ Заинск'!R18*(1-'ЛАЙТ Рязань'!$V$5-'ЛАЙТ Рязань'!V18)+IFERROR(SEARCH("комп",J18)/SEARCH("комп",J18)*'ЛАЙТ Рязань'!$R$5,'ЛАЙТ Рязань'!O$5)),'ЛАЙТ Юрга'!R18*(1-'ЛАЙТ Рязань'!$V$5-'ЛАЙТ Рязань'!V18)+IFERROR(SEARCH("комп",J18)/SEARCH("комп",J18)*'ЛАЙТ Рязань'!$R$5,'ЛАЙТ Рязань'!O$5)),"нет")</f>
        <v>1785</v>
      </c>
      <c r="T18" s="101">
        <f t="shared" si="3"/>
        <v>124.95</v>
      </c>
      <c r="U18" s="1228"/>
      <c r="V18" s="1229"/>
      <c r="W18" s="1228"/>
      <c r="X18" s="1235"/>
      <c r="Y18" s="1155"/>
      <c r="Z18" s="1156"/>
      <c r="AA18" s="1157"/>
      <c r="AB18" s="991"/>
      <c r="AC18" s="991"/>
      <c r="AD18" s="991"/>
      <c r="AE18" s="991"/>
      <c r="AF18" s="991"/>
      <c r="AG18" s="1022"/>
    </row>
    <row r="19" spans="1:35" ht="22.5" customHeight="1" thickBot="1" x14ac:dyDescent="0.3">
      <c r="A19" s="1371"/>
      <c r="B19" s="203">
        <v>1200</v>
      </c>
      <c r="C19" s="204">
        <v>600</v>
      </c>
      <c r="D19" s="209">
        <v>80</v>
      </c>
      <c r="E19" s="254" t="s">
        <v>102</v>
      </c>
      <c r="F19" s="604" t="str">
        <f>IF(OR('ЛАЙТ Рязань'!$T$7="Завод 'ТЕХНО' г.Рязань",'ЛАЙТ Рязань'!$T$7="Завод 'ТЕХНО' г.Заинск"),'ЛАЙТ Рязань'!F19,'ЛАЙТ Юрга'!F19)</f>
        <v>С</v>
      </c>
      <c r="G19" s="205">
        <v>322.58064516129031</v>
      </c>
      <c r="H19" s="124">
        <v>46.669653524492226</v>
      </c>
      <c r="I19" s="1179">
        <f>IF(OR('ЛАЙТ Рязань'!$T$7="Завод 'ТЕХНО' г.Рязань",'ЛАЙТ Рязань'!$T$7="Завод 'ТЕХНО' г.Заинск"),'ЛАЙТ Рязань'!G19,'ЛАЙТ Юрга'!G19)</f>
        <v>297.21600000000001</v>
      </c>
      <c r="J19" s="124" t="s">
        <v>83</v>
      </c>
      <c r="K19" s="125">
        <v>6</v>
      </c>
      <c r="L19" s="166">
        <f t="shared" ref="L19:L30" si="17">B19*C19*K19/1000000</f>
        <v>4.32</v>
      </c>
      <c r="M19" s="126">
        <f t="shared" ref="M19:M30" si="18">L19*D19/1000</f>
        <v>0.34560000000000002</v>
      </c>
      <c r="N19" s="127">
        <v>20</v>
      </c>
      <c r="O19" s="172">
        <f t="shared" si="9"/>
        <v>6.9120000000000008</v>
      </c>
      <c r="P19" s="231">
        <f t="shared" si="10"/>
        <v>76.032000000000011</v>
      </c>
      <c r="Q19" s="126"/>
      <c r="R19" s="88">
        <f t="shared" si="2"/>
        <v>616.89600000000007</v>
      </c>
      <c r="S19" s="786">
        <f>IFERROR(IF(OR('ЛАЙТ Рязань'!$T$7="Завод 'ТЕХНО' г.Рязань",'ЛАЙТ Рязань'!$T$7="Завод 'ТЕХНО' г.Заинск"),IF('ЛАЙТ Рязань'!$T$7="Завод 'ТЕХНО' г.Рязань",'ЛАЙТ Рязань'!R19*(1-'ЛАЙТ Рязань'!$V$5-'ЛАЙТ Рязань'!V19)+IFERROR(SEARCH("комп",J19)/SEARCH("комп",J19)*'ЛАЙТ Рязань'!$R$5,'ЛАЙТ Рязань'!O$5),'ЛАЙТ Заинск'!R19*(1-'ЛАЙТ Рязань'!$V$5-'ЛАЙТ Рязань'!V19)+IFERROR(SEARCH("комп",J19)/SEARCH("комп",J19)*'ЛАЙТ Рязань'!$R$5,'ЛАЙТ Рязань'!O$5)),'ЛАЙТ Юрга'!R19*(1-'ЛАЙТ Рязань'!$V$5-'ЛАЙТ Рязань'!V19)+IFERROR(SEARCH("комп",J19)/SEARCH("комп",J19)*'ЛАЙТ Рязань'!$R$5,'ЛАЙТ Рязань'!O$5)),"нет")</f>
        <v>1785</v>
      </c>
      <c r="T19" s="101">
        <f t="shared" si="3"/>
        <v>142.80000000000001</v>
      </c>
      <c r="U19" s="1228"/>
      <c r="V19" s="1229"/>
      <c r="W19" s="1228"/>
      <c r="X19" s="1235"/>
      <c r="Y19" s="1155"/>
      <c r="Z19" s="1156"/>
      <c r="AA19" s="1157"/>
      <c r="AB19" s="991"/>
      <c r="AC19" s="991"/>
      <c r="AD19" s="991"/>
      <c r="AE19" s="991"/>
      <c r="AF19" s="991"/>
      <c r="AG19" s="1022"/>
    </row>
    <row r="20" spans="1:35" ht="22.5" customHeight="1" thickBot="1" x14ac:dyDescent="0.3">
      <c r="A20" s="1371"/>
      <c r="B20" s="203">
        <v>1200</v>
      </c>
      <c r="C20" s="204">
        <v>600</v>
      </c>
      <c r="D20" s="209">
        <v>90</v>
      </c>
      <c r="E20" s="254" t="s">
        <v>103</v>
      </c>
      <c r="F20" s="604" t="str">
        <f>IF(OR('ЛАЙТ Рязань'!$T$7="Завод 'ТЕХНО' г.Рязань",'ЛАЙТ Рязань'!$T$7="Завод 'ТЕХНО' г.Заинск"),'ЛАЙТ Рязань'!F20,'ЛАЙТ Юрга'!F20)</f>
        <v>С</v>
      </c>
      <c r="G20" s="205">
        <v>322.58064516129031</v>
      </c>
      <c r="H20" s="124">
        <v>51.855170582769148</v>
      </c>
      <c r="I20" s="1179">
        <f>IF(OR('ЛАЙТ Рязань'!$T$7="Завод 'ТЕХНО' г.Рязань",'ЛАЙТ Рязань'!$T$7="Завод 'ТЕХНО' г.Заинск"),'ЛАЙТ Рязань'!G20,'ЛАЙТ Юрга'!G20)</f>
        <v>298.59840000000003</v>
      </c>
      <c r="J20" s="124" t="s">
        <v>83</v>
      </c>
      <c r="K20" s="125">
        <v>6</v>
      </c>
      <c r="L20" s="166">
        <f t="shared" si="17"/>
        <v>4.32</v>
      </c>
      <c r="M20" s="126">
        <f t="shared" si="18"/>
        <v>0.38880000000000003</v>
      </c>
      <c r="N20" s="127">
        <v>16</v>
      </c>
      <c r="O20" s="172">
        <f t="shared" si="9"/>
        <v>6.2208000000000006</v>
      </c>
      <c r="P20" s="231">
        <f t="shared" si="10"/>
        <v>68.42880000000001</v>
      </c>
      <c r="Q20" s="126"/>
      <c r="R20" s="88">
        <f t="shared" si="2"/>
        <v>694.00800000000004</v>
      </c>
      <c r="S20" s="786">
        <f>IFERROR(IF(OR('ЛАЙТ Рязань'!$T$7="Завод 'ТЕХНО' г.Рязань",'ЛАЙТ Рязань'!$T$7="Завод 'ТЕХНО' г.Заинск"),IF('ЛАЙТ Рязань'!$T$7="Завод 'ТЕХНО' г.Рязань",'ЛАЙТ Рязань'!R20*(1-'ЛАЙТ Рязань'!$V$5-'ЛАЙТ Рязань'!V20)+IFERROR(SEARCH("комп",J20)/SEARCH("комп",J20)*'ЛАЙТ Рязань'!$R$5,'ЛАЙТ Рязань'!O$5),'ЛАЙТ Заинск'!R20*(1-'ЛАЙТ Рязань'!$V$5-'ЛАЙТ Рязань'!V20)+IFERROR(SEARCH("комп",J20)/SEARCH("комп",J20)*'ЛАЙТ Рязань'!$R$5,'ЛАЙТ Рязань'!O$5)),'ЛАЙТ Юрга'!R20*(1-'ЛАЙТ Рязань'!$V$5-'ЛАЙТ Рязань'!V20)+IFERROR(SEARCH("комп",J20)/SEARCH("комп",J20)*'ЛАЙТ Рязань'!$R$5,'ЛАЙТ Рязань'!O$5)),"нет")</f>
        <v>1785</v>
      </c>
      <c r="T20" s="101">
        <f t="shared" si="3"/>
        <v>160.65</v>
      </c>
      <c r="U20" s="1228"/>
      <c r="V20" s="1229"/>
      <c r="W20" s="1228"/>
      <c r="X20" s="1235"/>
      <c r="Y20" s="1155"/>
      <c r="Z20" s="1156"/>
      <c r="AA20" s="1157"/>
      <c r="AB20" s="991"/>
      <c r="AC20" s="991"/>
      <c r="AD20" s="991"/>
      <c r="AE20" s="991"/>
      <c r="AF20" s="991"/>
      <c r="AG20" s="1022"/>
    </row>
    <row r="21" spans="1:35" ht="22.5" customHeight="1" thickBot="1" x14ac:dyDescent="0.3">
      <c r="A21" s="1371"/>
      <c r="B21" s="203">
        <v>1200</v>
      </c>
      <c r="C21" s="204">
        <v>600</v>
      </c>
      <c r="D21" s="209">
        <v>100</v>
      </c>
      <c r="E21" s="254" t="s">
        <v>89</v>
      </c>
      <c r="F21" s="604" t="str">
        <f>IF(OR('ЛАЙТ Рязань'!$T$7="Завод 'ТЕХНО' г.Рязань",'ЛАЙТ Рязань'!$T$7="Завод 'ТЕХНО' г.Заинск"),'ЛАЙТ Рязань'!F21,'ЛАЙТ Юрга'!F21)</f>
        <v>А</v>
      </c>
      <c r="G21" s="205"/>
      <c r="H21" s="124">
        <v>0</v>
      </c>
      <c r="I21" s="1179" t="str">
        <f>IF(OR('ЛАЙТ Рязань'!$T$7="Завод 'ТЕХНО' г.Рязань",'ЛАЙТ Рязань'!$T$7="Завод 'ТЕХНО' г.Заинск"),'ЛАЙТ Рязань'!G21,'ЛАЙТ Юрга'!G21)</f>
        <v xml:space="preserve"> </v>
      </c>
      <c r="J21" s="124" t="s">
        <v>83</v>
      </c>
      <c r="K21" s="125">
        <v>6</v>
      </c>
      <c r="L21" s="166">
        <f t="shared" si="17"/>
        <v>4.32</v>
      </c>
      <c r="M21" s="126">
        <f t="shared" si="18"/>
        <v>0.432</v>
      </c>
      <c r="N21" s="127">
        <v>16</v>
      </c>
      <c r="O21" s="172">
        <f t="shared" si="9"/>
        <v>6.9119999999999999</v>
      </c>
      <c r="P21" s="231">
        <f t="shared" si="10"/>
        <v>76.031999999999996</v>
      </c>
      <c r="Q21" s="126"/>
      <c r="R21" s="88">
        <f t="shared" si="2"/>
        <v>771.12</v>
      </c>
      <c r="S21" s="786">
        <f>IFERROR(IF(OR('ЛАЙТ Рязань'!$T$7="Завод 'ТЕХНО' г.Рязань",'ЛАЙТ Рязань'!$T$7="Завод 'ТЕХНО' г.Заинск"),IF('ЛАЙТ Рязань'!$T$7="Завод 'ТЕХНО' г.Рязань",'ЛАЙТ Рязань'!R21*(1-'ЛАЙТ Рязань'!$V$5-'ЛАЙТ Рязань'!V21)+IFERROR(SEARCH("комп",J21)/SEARCH("комп",J21)*'ЛАЙТ Рязань'!$R$5,'ЛАЙТ Рязань'!O$5),'ЛАЙТ Заинск'!R21*(1-'ЛАЙТ Рязань'!$V$5-'ЛАЙТ Рязань'!V21)+IFERROR(SEARCH("комп",J21)/SEARCH("комп",J21)*'ЛАЙТ Рязань'!$R$5,'ЛАЙТ Рязань'!O$5)),'ЛАЙТ Юрга'!R21*(1-'ЛАЙТ Рязань'!$V$5-'ЛАЙТ Рязань'!V21)+IFERROR(SEARCH("комп",J21)/SEARCH("комп",J21)*'ЛАЙТ Рязань'!$R$5,'ЛАЙТ Рязань'!O$5)),"нет")</f>
        <v>1785</v>
      </c>
      <c r="T21" s="101">
        <f t="shared" si="3"/>
        <v>178.5</v>
      </c>
      <c r="U21" s="1228"/>
      <c r="V21" s="1229"/>
      <c r="W21" s="1228"/>
      <c r="X21" s="1235"/>
      <c r="Y21" s="1155"/>
      <c r="Z21" s="1156"/>
      <c r="AA21" s="1157"/>
      <c r="AB21" s="991"/>
      <c r="AC21" s="991"/>
      <c r="AD21" s="991"/>
      <c r="AE21" s="991"/>
      <c r="AF21" s="991"/>
      <c r="AG21" s="1022"/>
    </row>
    <row r="22" spans="1:35" ht="22.5" customHeight="1" thickBot="1" x14ac:dyDescent="0.3">
      <c r="A22" s="1371"/>
      <c r="B22" s="203">
        <v>1200</v>
      </c>
      <c r="C22" s="204">
        <v>600</v>
      </c>
      <c r="D22" s="209">
        <v>110</v>
      </c>
      <c r="E22" s="254" t="s">
        <v>90</v>
      </c>
      <c r="F22" s="604" t="str">
        <f>IF(OR('ЛАЙТ Рязань'!$T$7="Завод 'ТЕХНО' г.Рязань",'ЛАЙТ Рязань'!$T$7="Завод 'ТЕХНО' г.Заинск"),'ЛАЙТ Рязань'!F22,'ЛАЙТ Юрга'!F22)</f>
        <v>С</v>
      </c>
      <c r="G22" s="205">
        <v>322.58064516129031</v>
      </c>
      <c r="H22" s="124">
        <v>50.91234929944607</v>
      </c>
      <c r="I22" s="1179">
        <f>IF(OR('ЛАЙТ Рязань'!$T$7="Завод 'ТЕХНО' г.Рязань",'ЛАЙТ Рязань'!$T$7="Завод 'ТЕХНО' г.Заинск"),'ЛАЙТ Рязань'!G22,'ЛАЙТ Юрга'!G22)</f>
        <v>297.79200000000003</v>
      </c>
      <c r="J22" s="124" t="s">
        <v>83</v>
      </c>
      <c r="K22" s="125">
        <v>5</v>
      </c>
      <c r="L22" s="166">
        <f t="shared" si="17"/>
        <v>3.6</v>
      </c>
      <c r="M22" s="126">
        <f t="shared" si="18"/>
        <v>0.39600000000000002</v>
      </c>
      <c r="N22" s="127">
        <v>16</v>
      </c>
      <c r="O22" s="172">
        <f t="shared" si="9"/>
        <v>6.3360000000000003</v>
      </c>
      <c r="P22" s="231">
        <f t="shared" si="10"/>
        <v>69.695999999999998</v>
      </c>
      <c r="Q22" s="126"/>
      <c r="R22" s="88">
        <f t="shared" si="2"/>
        <v>706.86</v>
      </c>
      <c r="S22" s="786">
        <f>IFERROR(IF(OR('ЛАЙТ Рязань'!$T$7="Завод 'ТЕХНО' г.Рязань",'ЛАЙТ Рязань'!$T$7="Завод 'ТЕХНО' г.Заинск"),IF('ЛАЙТ Рязань'!$T$7="Завод 'ТЕХНО' г.Рязань",'ЛАЙТ Рязань'!R22*(1-'ЛАЙТ Рязань'!$V$5-'ЛАЙТ Рязань'!V22)+IFERROR(SEARCH("комп",J22)/SEARCH("комп",J22)*'ЛАЙТ Рязань'!$R$5,'ЛАЙТ Рязань'!O$5),'ЛАЙТ Заинск'!R22*(1-'ЛАЙТ Рязань'!$V$5-'ЛАЙТ Рязань'!V22)+IFERROR(SEARCH("комп",J22)/SEARCH("комп",J22)*'ЛАЙТ Рязань'!$R$5,'ЛАЙТ Рязань'!O$5)),'ЛАЙТ Юрга'!R22*(1-'ЛАЙТ Рязань'!$V$5-'ЛАЙТ Рязань'!V22)+IFERROR(SEARCH("комп",J22)/SEARCH("комп",J22)*'ЛАЙТ Рязань'!$R$5,'ЛАЙТ Рязань'!O$5)),"нет")</f>
        <v>1785</v>
      </c>
      <c r="T22" s="101">
        <f t="shared" si="3"/>
        <v>196.35</v>
      </c>
      <c r="U22" s="1228"/>
      <c r="V22" s="1229"/>
      <c r="W22" s="1228"/>
      <c r="X22" s="1235"/>
      <c r="Y22" s="1155"/>
      <c r="Z22" s="1156"/>
      <c r="AA22" s="1157"/>
      <c r="AB22" s="991"/>
      <c r="AC22" s="991"/>
      <c r="AD22" s="991"/>
      <c r="AE22" s="991"/>
      <c r="AF22" s="991"/>
      <c r="AG22" s="1022"/>
    </row>
    <row r="23" spans="1:35" ht="22.5" customHeight="1" thickBot="1" x14ac:dyDescent="0.3">
      <c r="A23" s="1371"/>
      <c r="B23" s="203">
        <v>1200</v>
      </c>
      <c r="C23" s="204">
        <v>600</v>
      </c>
      <c r="D23" s="209">
        <v>120</v>
      </c>
      <c r="E23" s="254" t="s">
        <v>91</v>
      </c>
      <c r="F23" s="604" t="str">
        <f>IF(OR('ЛАЙТ Рязань'!$T$7="Завод 'ТЕХНО' г.Рязань",'ЛАЙТ Рязань'!$T$7="Завод 'ТЕХНО' г.Заинск"),'ЛАЙТ Рязань'!F23,'ЛАЙТ Юрга'!F23)</f>
        <v>С</v>
      </c>
      <c r="G23" s="205">
        <v>322.58064516129031</v>
      </c>
      <c r="H23" s="124">
        <v>46.669653524492233</v>
      </c>
      <c r="I23" s="1179">
        <f>IF(OR('ЛАЙТ Рязань'!$T$7="Завод 'ТЕХНО' г.Рязань",'ЛАЙТ Рязань'!$T$7="Завод 'ТЕХНО' г.Заинск"),'ЛАЙТ Рязань'!G23,'ЛАЙТ Юрга'!G23)</f>
        <v>297.21600000000001</v>
      </c>
      <c r="J23" s="124" t="s">
        <v>83</v>
      </c>
      <c r="K23" s="125">
        <v>5</v>
      </c>
      <c r="L23" s="166">
        <f t="shared" si="17"/>
        <v>3.6</v>
      </c>
      <c r="M23" s="126">
        <f t="shared" si="18"/>
        <v>0.432</v>
      </c>
      <c r="N23" s="127">
        <v>16</v>
      </c>
      <c r="O23" s="172">
        <f t="shared" si="9"/>
        <v>6.9119999999999999</v>
      </c>
      <c r="P23" s="231">
        <f t="shared" si="10"/>
        <v>76.031999999999996</v>
      </c>
      <c r="Q23" s="126"/>
      <c r="R23" s="88">
        <f t="shared" si="2"/>
        <v>771.12</v>
      </c>
      <c r="S23" s="786">
        <f>IFERROR(IF(OR('ЛАЙТ Рязань'!$T$7="Завод 'ТЕХНО' г.Рязань",'ЛАЙТ Рязань'!$T$7="Завод 'ТЕХНО' г.Заинск"),IF('ЛАЙТ Рязань'!$T$7="Завод 'ТЕХНО' г.Рязань",'ЛАЙТ Рязань'!R23*(1-'ЛАЙТ Рязань'!$V$5-'ЛАЙТ Рязань'!V23)+IFERROR(SEARCH("комп",J23)/SEARCH("комп",J23)*'ЛАЙТ Рязань'!$R$5,'ЛАЙТ Рязань'!O$5),'ЛАЙТ Заинск'!R23*(1-'ЛАЙТ Рязань'!$V$5-'ЛАЙТ Рязань'!V23)+IFERROR(SEARCH("комп",J23)/SEARCH("комп",J23)*'ЛАЙТ Рязань'!$R$5,'ЛАЙТ Рязань'!O$5)),'ЛАЙТ Юрга'!R23*(1-'ЛАЙТ Рязань'!$V$5-'ЛАЙТ Рязань'!V23)+IFERROR(SEARCH("комп",J23)/SEARCH("комп",J23)*'ЛАЙТ Рязань'!$R$5,'ЛАЙТ Рязань'!O$5)),"нет")</f>
        <v>1785</v>
      </c>
      <c r="T23" s="101">
        <f t="shared" si="3"/>
        <v>214.2</v>
      </c>
      <c r="U23" s="1228"/>
      <c r="V23" s="1229"/>
      <c r="W23" s="1228"/>
      <c r="X23" s="1235"/>
      <c r="Y23" s="1155"/>
      <c r="Z23" s="1156"/>
      <c r="AA23" s="1157"/>
      <c r="AB23" s="991"/>
      <c r="AC23" s="991"/>
      <c r="AD23" s="991"/>
      <c r="AE23" s="991"/>
      <c r="AF23" s="991"/>
      <c r="AG23" s="1022"/>
    </row>
    <row r="24" spans="1:35" ht="22.5" customHeight="1" thickBot="1" x14ac:dyDescent="0.3">
      <c r="A24" s="1371"/>
      <c r="B24" s="203">
        <v>1200</v>
      </c>
      <c r="C24" s="204">
        <v>600</v>
      </c>
      <c r="D24" s="209">
        <v>130</v>
      </c>
      <c r="E24" s="254" t="s">
        <v>694</v>
      </c>
      <c r="F24" s="604" t="str">
        <f>IF(OR('ЛАЙТ Рязань'!$T$7="Завод 'ТЕХНО' г.Рязань",'ЛАЙТ Рязань'!$T$7="Завод 'ТЕХНО' г.Заинск"),'ЛАЙТ Рязань'!F23,'ЛАЙТ Юрга'!F23)</f>
        <v>С</v>
      </c>
      <c r="G24" s="205">
        <v>322.58064516129031</v>
      </c>
      <c r="H24" s="124">
        <v>53.849600220567957</v>
      </c>
      <c r="I24" s="1179">
        <f>IF(OR('ЛАЙТ Рязань'!$T$7="Завод 'ТЕХНО' г.Рязань",'ЛАЙТ Рязань'!$T$7="Завод 'ТЕХНО' г.Заинск"),'ЛАЙТ Рязань'!G24,'ЛАЙТ Юрга'!G24)</f>
        <v>296.52480000000003</v>
      </c>
      <c r="J24" s="124" t="s">
        <v>83</v>
      </c>
      <c r="K24" s="125">
        <v>3</v>
      </c>
      <c r="L24" s="166">
        <f t="shared" ref="L24" si="19">B24*C24*K24/1000000</f>
        <v>2.16</v>
      </c>
      <c r="M24" s="126">
        <f t="shared" ref="M24" si="20">L24*D24/1000</f>
        <v>0.28079999999999999</v>
      </c>
      <c r="N24" s="127">
        <v>24</v>
      </c>
      <c r="O24" s="172">
        <f t="shared" ref="O24" si="21">M24*N24</f>
        <v>6.7392000000000003</v>
      </c>
      <c r="P24" s="231">
        <f t="shared" ref="P24" si="22">O24*11</f>
        <v>74.131200000000007</v>
      </c>
      <c r="Q24" s="126"/>
      <c r="R24" s="88">
        <f t="shared" ref="R24" si="23">IFERROR(M24*S24,"---")</f>
        <v>501.22800000000001</v>
      </c>
      <c r="S24" s="786">
        <f>IFERROR(IF(OR('ЛАЙТ Рязань'!$T$7="Завод 'ТЕХНО' г.Рязань",'ЛАЙТ Рязань'!$T$7="Завод 'ТЕХНО' г.Заинск"),IF('ЛАЙТ Рязань'!$T$7="Завод 'ТЕХНО' г.Рязань",'ЛАЙТ Рязань'!R24*(1-'ЛАЙТ Рязань'!$V$5-'ЛАЙТ Рязань'!V24)+IFERROR(SEARCH("комп",J24)/SEARCH("комп",J24)*'ЛАЙТ Рязань'!$R$5,'ЛАЙТ Рязань'!O$5),'ЛАЙТ Заинск'!R24*(1-'ЛАЙТ Рязань'!$V$5-'ЛАЙТ Рязань'!V24)+IFERROR(SEARCH("комп",J24)/SEARCH("комп",J24)*'ЛАЙТ Рязань'!$R$5,'ЛАЙТ Рязань'!O$5)),'ЛАЙТ Юрга'!R24*(1-'ЛАЙТ Рязань'!$V$5-'ЛАЙТ Рязань'!V24)+IFERROR(SEARCH("комп",J24)/SEARCH("комп",J24)*'ЛАЙТ Рязань'!$R$5,'ЛАЙТ Рязань'!O$5)),"нет")</f>
        <v>1785</v>
      </c>
      <c r="T24" s="101">
        <f t="shared" ref="T24" si="24">IFERROR(S24*D24/1000,"---")</f>
        <v>232.05</v>
      </c>
      <c r="U24" s="1228"/>
      <c r="V24" s="1229"/>
      <c r="W24" s="1228"/>
      <c r="X24" s="1235"/>
      <c r="Y24" s="1155"/>
      <c r="Z24" s="1156"/>
      <c r="AA24" s="1157"/>
      <c r="AB24" s="991"/>
      <c r="AC24" s="991"/>
      <c r="AD24" s="991"/>
      <c r="AE24" s="991"/>
      <c r="AF24" s="991"/>
      <c r="AG24" s="1022"/>
    </row>
    <row r="25" spans="1:35" ht="22.5" customHeight="1" thickBot="1" x14ac:dyDescent="0.3">
      <c r="A25" s="1371"/>
      <c r="B25" s="203">
        <v>1200</v>
      </c>
      <c r="C25" s="204">
        <v>600</v>
      </c>
      <c r="D25" s="209">
        <v>140</v>
      </c>
      <c r="E25" s="254" t="s">
        <v>92</v>
      </c>
      <c r="F25" s="604" t="str">
        <f>IF(OR('ЛАЙТ Рязань'!$T$7="Завод 'ТЕХНО' г.Рязань",'ЛАЙТ Рязань'!$T$7="Завод 'ТЕХНО' г.Заинск"),'ЛАЙТ Рязань'!F25,'ЛАЙТ Юрга'!F25)</f>
        <v>С</v>
      </c>
      <c r="G25" s="205">
        <v>322.58064516129031</v>
      </c>
      <c r="H25" s="124">
        <v>50.003200204813105</v>
      </c>
      <c r="I25" s="1179">
        <f>IF(OR('ЛАЙТ Рязань'!$T$7="Завод 'ТЕХНО' г.Рязань",'ЛАЙТ Рязань'!$T$7="Завод 'ТЕХНО' г.Заинск"),'ЛАЙТ Рязань'!G25,'ЛАЙТ Юрга'!G25)</f>
        <v>296.7552</v>
      </c>
      <c r="J25" s="124" t="s">
        <v>83</v>
      </c>
      <c r="K25" s="125">
        <v>4</v>
      </c>
      <c r="L25" s="166">
        <f t="shared" si="17"/>
        <v>2.88</v>
      </c>
      <c r="M25" s="126">
        <f t="shared" si="18"/>
        <v>0.4032</v>
      </c>
      <c r="N25" s="127">
        <v>16</v>
      </c>
      <c r="O25" s="172">
        <f t="shared" si="9"/>
        <v>6.4512</v>
      </c>
      <c r="P25" s="231">
        <f t="shared" si="10"/>
        <v>70.963200000000001</v>
      </c>
      <c r="Q25" s="126"/>
      <c r="R25" s="88">
        <f t="shared" si="2"/>
        <v>719.71199999999999</v>
      </c>
      <c r="S25" s="786">
        <f>IFERROR(IF(OR('ЛАЙТ Рязань'!$T$7="Завод 'ТЕХНО' г.Рязань",'ЛАЙТ Рязань'!$T$7="Завод 'ТЕХНО' г.Заинск"),IF('ЛАЙТ Рязань'!$T$7="Завод 'ТЕХНО' г.Рязань",'ЛАЙТ Рязань'!R25*(1-'ЛАЙТ Рязань'!$V$5-'ЛАЙТ Рязань'!V25)+IFERROR(SEARCH("комп",J25)/SEARCH("комп",J25)*'ЛАЙТ Рязань'!$R$5,'ЛАЙТ Рязань'!O$5),'ЛАЙТ Заинск'!R25*(1-'ЛАЙТ Рязань'!$V$5-'ЛАЙТ Рязань'!V25)+IFERROR(SEARCH("комп",J25)/SEARCH("комп",J25)*'ЛАЙТ Рязань'!$R$5,'ЛАЙТ Рязань'!O$5)),'ЛАЙТ Юрга'!R25*(1-'ЛАЙТ Рязань'!$V$5-'ЛАЙТ Рязань'!V25)+IFERROR(SEARCH("комп",J25)/SEARCH("комп",J25)*'ЛАЙТ Рязань'!$R$5,'ЛАЙТ Рязань'!O$5)),"нет")</f>
        <v>1785</v>
      </c>
      <c r="T25" s="101">
        <f t="shared" si="3"/>
        <v>249.9</v>
      </c>
      <c r="U25" s="1228"/>
      <c r="V25" s="1229"/>
      <c r="W25" s="1228"/>
      <c r="X25" s="1235"/>
      <c r="Y25" s="1155"/>
      <c r="Z25" s="1156"/>
      <c r="AA25" s="1157"/>
      <c r="AB25" s="991"/>
      <c r="AC25" s="991"/>
      <c r="AD25" s="991"/>
      <c r="AE25" s="991"/>
      <c r="AF25" s="991"/>
      <c r="AG25" s="1022"/>
    </row>
    <row r="26" spans="1:35" ht="22.5" customHeight="1" thickBot="1" x14ac:dyDescent="0.3">
      <c r="A26" s="1371"/>
      <c r="B26" s="203">
        <v>1200</v>
      </c>
      <c r="C26" s="204">
        <v>600</v>
      </c>
      <c r="D26" s="209">
        <v>150</v>
      </c>
      <c r="E26" s="254" t="s">
        <v>93</v>
      </c>
      <c r="F26" s="604" t="str">
        <f>IF(OR('ЛАЙТ Рязань'!$T$7="Завод 'ТЕХНО' г.Рязань",'ЛАЙТ Рязань'!$T$7="Завод 'ТЕХНО' г.Заинск"),'ЛАЙТ Рязань'!F26,'ЛАЙТ Юрга'!F26)</f>
        <v>С</v>
      </c>
      <c r="G26" s="205">
        <v>322.58064516129031</v>
      </c>
      <c r="H26" s="124">
        <v>46.669653524492233</v>
      </c>
      <c r="I26" s="1179">
        <f>IF(OR('ЛАЙТ Рязань'!$T$7="Завод 'ТЕХНО' г.Рязань",'ЛАЙТ Рязань'!$T$7="Завод 'ТЕХНО' г.Заинск"),'ЛАЙТ Рязань'!G26,'ЛАЙТ Юрга'!G26)</f>
        <v>297.21600000000001</v>
      </c>
      <c r="J26" s="124" t="s">
        <v>83</v>
      </c>
      <c r="K26" s="125">
        <v>4</v>
      </c>
      <c r="L26" s="166">
        <f t="shared" si="17"/>
        <v>2.88</v>
      </c>
      <c r="M26" s="126">
        <f t="shared" si="18"/>
        <v>0.432</v>
      </c>
      <c r="N26" s="127">
        <v>16</v>
      </c>
      <c r="O26" s="172">
        <f t="shared" si="9"/>
        <v>6.9119999999999999</v>
      </c>
      <c r="P26" s="231">
        <f t="shared" si="10"/>
        <v>76.031999999999996</v>
      </c>
      <c r="Q26" s="126"/>
      <c r="R26" s="88">
        <f t="shared" si="2"/>
        <v>771.12</v>
      </c>
      <c r="S26" s="786">
        <f>IFERROR(IF(OR('ЛАЙТ Рязань'!$T$7="Завод 'ТЕХНО' г.Рязань",'ЛАЙТ Рязань'!$T$7="Завод 'ТЕХНО' г.Заинск"),IF('ЛАЙТ Рязань'!$T$7="Завод 'ТЕХНО' г.Рязань",'ЛАЙТ Рязань'!R26*(1-'ЛАЙТ Рязань'!$V$5-'ЛАЙТ Рязань'!V26)+IFERROR(SEARCH("комп",J26)/SEARCH("комп",J26)*'ЛАЙТ Рязань'!$R$5,'ЛАЙТ Рязань'!O$5),'ЛАЙТ Заинск'!R26*(1-'ЛАЙТ Рязань'!$V$5-'ЛАЙТ Рязань'!V26)+IFERROR(SEARCH("комп",J26)/SEARCH("комп",J26)*'ЛАЙТ Рязань'!$R$5,'ЛАЙТ Рязань'!O$5)),'ЛАЙТ Юрга'!R26*(1-'ЛАЙТ Рязань'!$V$5-'ЛАЙТ Рязань'!V26)+IFERROR(SEARCH("комп",J26)/SEARCH("комп",J26)*'ЛАЙТ Рязань'!$R$5,'ЛАЙТ Рязань'!O$5)),"нет")</f>
        <v>1785</v>
      </c>
      <c r="T26" s="101">
        <f t="shared" si="3"/>
        <v>267.75</v>
      </c>
      <c r="U26" s="1228"/>
      <c r="V26" s="1229"/>
      <c r="W26" s="1228"/>
      <c r="X26" s="1235"/>
      <c r="Y26" s="1155"/>
      <c r="Z26" s="1156"/>
      <c r="AA26" s="1157"/>
      <c r="AB26" s="991"/>
      <c r="AC26" s="991"/>
      <c r="AD26" s="991"/>
      <c r="AE26" s="991"/>
      <c r="AF26" s="991"/>
      <c r="AG26" s="1022"/>
    </row>
    <row r="27" spans="1:35" ht="22.5" customHeight="1" thickBot="1" x14ac:dyDescent="0.3">
      <c r="A27" s="1371"/>
      <c r="B27" s="203">
        <v>1200</v>
      </c>
      <c r="C27" s="204">
        <v>600</v>
      </c>
      <c r="D27" s="209">
        <v>160</v>
      </c>
      <c r="E27" s="254" t="s">
        <v>94</v>
      </c>
      <c r="F27" s="604" t="str">
        <f>IF(OR('ЛАЙТ Рязань'!$T$7="Завод 'ТЕХНО' г.Рязань",'ЛАЙТ Рязань'!$T$7="Завод 'ТЕХНО' г.Заинск"),'ЛАЙТ Рязань'!F27,'ЛАЙТ Юрга'!F27)</f>
        <v>С</v>
      </c>
      <c r="G27" s="205">
        <v>322.58064516129031</v>
      </c>
      <c r="H27" s="124">
        <v>46.669653524492226</v>
      </c>
      <c r="I27" s="1179">
        <f>IF(OR('ЛАЙТ Рязань'!$T$7="Завод 'ТЕХНО' г.Рязань",'ЛАЙТ Рязань'!$T$7="Завод 'ТЕХНО' г.Заинск"),'ЛАЙТ Рязань'!G27,'ЛАЙТ Юрга'!G27)</f>
        <v>297.21600000000001</v>
      </c>
      <c r="J27" s="124" t="s">
        <v>83</v>
      </c>
      <c r="K27" s="125">
        <v>3</v>
      </c>
      <c r="L27" s="166">
        <f t="shared" si="17"/>
        <v>2.16</v>
      </c>
      <c r="M27" s="126">
        <f t="shared" si="18"/>
        <v>0.34560000000000002</v>
      </c>
      <c r="N27" s="127">
        <v>20</v>
      </c>
      <c r="O27" s="172">
        <f t="shared" si="9"/>
        <v>6.9120000000000008</v>
      </c>
      <c r="P27" s="231">
        <f t="shared" si="10"/>
        <v>76.032000000000011</v>
      </c>
      <c r="Q27" s="126"/>
      <c r="R27" s="88">
        <f t="shared" si="2"/>
        <v>616.89600000000007</v>
      </c>
      <c r="S27" s="786">
        <f>IFERROR(IF(OR('ЛАЙТ Рязань'!$T$7="Завод 'ТЕХНО' г.Рязань",'ЛАЙТ Рязань'!$T$7="Завод 'ТЕХНО' г.Заинск"),IF('ЛАЙТ Рязань'!$T$7="Завод 'ТЕХНО' г.Рязань",'ЛАЙТ Рязань'!R27*(1-'ЛАЙТ Рязань'!$V$5-'ЛАЙТ Рязань'!V27)+IFERROR(SEARCH("комп",J27)/SEARCH("комп",J27)*'ЛАЙТ Рязань'!$R$5,'ЛАЙТ Рязань'!O$5),'ЛАЙТ Заинск'!R27*(1-'ЛАЙТ Рязань'!$V$5-'ЛАЙТ Рязань'!V27)+IFERROR(SEARCH("комп",J27)/SEARCH("комп",J27)*'ЛАЙТ Рязань'!$R$5,'ЛАЙТ Рязань'!O$5)),'ЛАЙТ Юрга'!R27*(1-'ЛАЙТ Рязань'!$V$5-'ЛАЙТ Рязань'!V27)+IFERROR(SEARCH("комп",J27)/SEARCH("комп",J27)*'ЛАЙТ Рязань'!$R$5,'ЛАЙТ Рязань'!O$5)),"нет")</f>
        <v>1785</v>
      </c>
      <c r="T27" s="101">
        <f t="shared" si="3"/>
        <v>285.60000000000002</v>
      </c>
      <c r="U27" s="1228"/>
      <c r="V27" s="1229"/>
      <c r="W27" s="1228"/>
      <c r="X27" s="1235"/>
      <c r="Y27" s="1155"/>
      <c r="Z27" s="1156"/>
      <c r="AA27" s="1157"/>
      <c r="AB27" s="991"/>
      <c r="AC27" s="991"/>
      <c r="AD27" s="991"/>
      <c r="AE27" s="991"/>
      <c r="AF27" s="991"/>
      <c r="AG27" s="1022"/>
    </row>
    <row r="28" spans="1:35" ht="22.5" customHeight="1" thickBot="1" x14ac:dyDescent="0.3">
      <c r="A28" s="1371"/>
      <c r="B28" s="203">
        <v>1200</v>
      </c>
      <c r="C28" s="204">
        <v>600</v>
      </c>
      <c r="D28" s="209">
        <v>170</v>
      </c>
      <c r="E28" s="254" t="s">
        <v>95</v>
      </c>
      <c r="F28" s="604" t="str">
        <f>IF(OR('ЛАЙТ Рязань'!$T$7="Завод 'ТЕХНО' г.Рязань",'ЛАЙТ Рязань'!$T$7="Завод 'ТЕХНО' г.Заинск"),'ЛАЙТ Рязань'!F28,'ЛАЙТ Юрга'!F28)</f>
        <v>С</v>
      </c>
      <c r="G28" s="205">
        <v>322.58064516129031</v>
      </c>
      <c r="H28" s="124">
        <v>54.905474734696739</v>
      </c>
      <c r="I28" s="1179">
        <f>IF(OR('ЛАЙТ Рязань'!$T$7="Завод 'ТЕХНО' г.Рязань",'ЛАЙТ Рязань'!$T$7="Завод 'ТЕХНО' г.Заинск"),'ЛАЙТ Рязань'!G28,'ЛАЙТ Юрга'!G28)</f>
        <v>299.6352</v>
      </c>
      <c r="J28" s="124" t="s">
        <v>83</v>
      </c>
      <c r="K28" s="125">
        <v>3</v>
      </c>
      <c r="L28" s="166">
        <f t="shared" si="17"/>
        <v>2.16</v>
      </c>
      <c r="M28" s="126">
        <f t="shared" si="18"/>
        <v>0.36720000000000003</v>
      </c>
      <c r="N28" s="127">
        <v>16</v>
      </c>
      <c r="O28" s="172">
        <f t="shared" si="9"/>
        <v>5.8752000000000004</v>
      </c>
      <c r="P28" s="231">
        <f t="shared" si="10"/>
        <v>64.627200000000002</v>
      </c>
      <c r="Q28" s="126"/>
      <c r="R28" s="88">
        <f t="shared" si="2"/>
        <v>655.452</v>
      </c>
      <c r="S28" s="786">
        <f>IFERROR(IF(OR('ЛАЙТ Рязань'!$T$7="Завод 'ТЕХНО' г.Рязань",'ЛАЙТ Рязань'!$T$7="Завод 'ТЕХНО' г.Заинск"),IF('ЛАЙТ Рязань'!$T$7="Завод 'ТЕХНО' г.Рязань",'ЛАЙТ Рязань'!R28*(1-'ЛАЙТ Рязань'!$V$5-'ЛАЙТ Рязань'!V28)+IFERROR(SEARCH("комп",J28)/SEARCH("комп",J28)*'ЛАЙТ Рязань'!$R$5,'ЛАЙТ Рязань'!O$5),'ЛАЙТ Заинск'!R28*(1-'ЛАЙТ Рязань'!$V$5-'ЛАЙТ Рязань'!V28)+IFERROR(SEARCH("комп",J28)/SEARCH("комп",J28)*'ЛАЙТ Рязань'!$R$5,'ЛАЙТ Рязань'!O$5)),'ЛАЙТ Юрга'!R28*(1-'ЛАЙТ Рязань'!$V$5-'ЛАЙТ Рязань'!V28)+IFERROR(SEARCH("комп",J28)/SEARCH("комп",J28)*'ЛАЙТ Рязань'!$R$5,'ЛАЙТ Рязань'!O$5)),"нет")</f>
        <v>1785</v>
      </c>
      <c r="T28" s="101">
        <f t="shared" si="3"/>
        <v>303.45</v>
      </c>
      <c r="U28" s="1228"/>
      <c r="V28" s="1229"/>
      <c r="W28" s="1228"/>
      <c r="X28" s="1235"/>
      <c r="Y28" s="1155"/>
      <c r="Z28" s="1156"/>
      <c r="AA28" s="1157"/>
      <c r="AB28" s="991"/>
      <c r="AC28" s="991"/>
      <c r="AD28" s="991"/>
      <c r="AE28" s="991"/>
      <c r="AF28" s="991"/>
      <c r="AG28" s="1022"/>
    </row>
    <row r="29" spans="1:35" ht="22.5" customHeight="1" thickBot="1" x14ac:dyDescent="0.3">
      <c r="A29" s="1371"/>
      <c r="B29" s="203">
        <v>1200</v>
      </c>
      <c r="C29" s="204">
        <v>600</v>
      </c>
      <c r="D29" s="209">
        <v>180</v>
      </c>
      <c r="E29" s="254" t="s">
        <v>96</v>
      </c>
      <c r="F29" s="604" t="str">
        <f>IF(OR('ЛАЙТ Рязань'!$T$7="Завод 'ТЕХНО' г.Рязань",'ЛАЙТ Рязань'!$T$7="Завод 'ТЕХНО' г.Заинск"),'ЛАЙТ Рязань'!F29,'ЛАЙТ Юрга'!F29)</f>
        <v>С</v>
      </c>
      <c r="G29" s="205">
        <v>322.58064516129031</v>
      </c>
      <c r="H29" s="124">
        <v>51.855170582769148</v>
      </c>
      <c r="I29" s="1179">
        <f>IF(OR('ЛАЙТ Рязань'!$T$7="Завод 'ТЕХНО' г.Рязань",'ЛАЙТ Рязань'!$T$7="Завод 'ТЕХНО' г.Заинск"),'ЛАЙТ Рязань'!G29,'ЛАЙТ Юрга'!G29)</f>
        <v>298.59840000000003</v>
      </c>
      <c r="J29" s="124" t="s">
        <v>83</v>
      </c>
      <c r="K29" s="125">
        <v>3</v>
      </c>
      <c r="L29" s="166">
        <f t="shared" si="17"/>
        <v>2.16</v>
      </c>
      <c r="M29" s="126">
        <f t="shared" si="18"/>
        <v>0.38880000000000003</v>
      </c>
      <c r="N29" s="127">
        <v>16</v>
      </c>
      <c r="O29" s="172">
        <f t="shared" si="9"/>
        <v>6.2208000000000006</v>
      </c>
      <c r="P29" s="231">
        <f t="shared" si="10"/>
        <v>68.42880000000001</v>
      </c>
      <c r="Q29" s="126"/>
      <c r="R29" s="88">
        <f t="shared" si="2"/>
        <v>694.00800000000004</v>
      </c>
      <c r="S29" s="786">
        <f>IFERROR(IF(OR('ЛАЙТ Рязань'!$T$7="Завод 'ТЕХНО' г.Рязань",'ЛАЙТ Рязань'!$T$7="Завод 'ТЕХНО' г.Заинск"),IF('ЛАЙТ Рязань'!$T$7="Завод 'ТЕХНО' г.Рязань",'ЛАЙТ Рязань'!R29*(1-'ЛАЙТ Рязань'!$V$5-'ЛАЙТ Рязань'!V29)+IFERROR(SEARCH("комп",J29)/SEARCH("комп",J29)*'ЛАЙТ Рязань'!$R$5,'ЛАЙТ Рязань'!O$5),'ЛАЙТ Заинск'!R29*(1-'ЛАЙТ Рязань'!$V$5-'ЛАЙТ Рязань'!V29)+IFERROR(SEARCH("комп",J29)/SEARCH("комп",J29)*'ЛАЙТ Рязань'!$R$5,'ЛАЙТ Рязань'!O$5)),'ЛАЙТ Юрга'!R29*(1-'ЛАЙТ Рязань'!$V$5-'ЛАЙТ Рязань'!V29)+IFERROR(SEARCH("комп",J29)/SEARCH("комп",J29)*'ЛАЙТ Рязань'!$R$5,'ЛАЙТ Рязань'!O$5)),"нет")</f>
        <v>1785</v>
      </c>
      <c r="T29" s="101">
        <f t="shared" si="3"/>
        <v>321.3</v>
      </c>
      <c r="U29" s="1228"/>
      <c r="V29" s="1229"/>
      <c r="W29" s="1228"/>
      <c r="X29" s="1235"/>
      <c r="Y29" s="1155"/>
      <c r="Z29" s="1156"/>
      <c r="AA29" s="1157"/>
      <c r="AB29" s="991"/>
      <c r="AC29" s="991"/>
      <c r="AD29" s="991"/>
      <c r="AE29" s="991"/>
      <c r="AF29" s="991"/>
      <c r="AG29" s="1022"/>
    </row>
    <row r="30" spans="1:35" ht="22.5" customHeight="1" thickBot="1" x14ac:dyDescent="0.3">
      <c r="A30" s="1371"/>
      <c r="B30" s="203">
        <v>1200</v>
      </c>
      <c r="C30" s="204">
        <v>600</v>
      </c>
      <c r="D30" s="209">
        <v>190</v>
      </c>
      <c r="E30" s="254" t="s">
        <v>97</v>
      </c>
      <c r="F30" s="604" t="str">
        <f>IF(OR('ЛАЙТ Рязань'!$T$7="Завод 'ТЕХНО' г.Рязань",'ЛАЙТ Рязань'!$T$7="Завод 'ТЕХНО' г.Заинск"),'ЛАЙТ Рязань'!F30,'ЛАЙТ Юрга'!F30)</f>
        <v>С</v>
      </c>
      <c r="G30" s="205">
        <v>322.58064516129031</v>
      </c>
      <c r="H30" s="124">
        <v>49.125951078412875</v>
      </c>
      <c r="I30" s="1179">
        <f>IF(OR('ЛАЙТ Рязань'!$T$7="Завод 'ТЕХНО' г.Рязань",'ЛАЙТ Рязань'!$T$7="Завод 'ТЕХНО' г.Заинск"),'ЛАЙТ Рязань'!G30,'ЛАЙТ Юрга'!G30)</f>
        <v>295.48800000000006</v>
      </c>
      <c r="J30" s="124" t="s">
        <v>83</v>
      </c>
      <c r="K30" s="125">
        <v>3</v>
      </c>
      <c r="L30" s="166">
        <f t="shared" si="17"/>
        <v>2.16</v>
      </c>
      <c r="M30" s="126">
        <f t="shared" si="18"/>
        <v>0.41040000000000004</v>
      </c>
      <c r="N30" s="127">
        <v>16</v>
      </c>
      <c r="O30" s="172">
        <f t="shared" si="9"/>
        <v>6.5664000000000007</v>
      </c>
      <c r="P30" s="231">
        <f t="shared" si="10"/>
        <v>72.230400000000003</v>
      </c>
      <c r="Q30" s="126"/>
      <c r="R30" s="88">
        <f t="shared" si="2"/>
        <v>732.56400000000008</v>
      </c>
      <c r="S30" s="786">
        <f>IFERROR(IF(OR('ЛАЙТ Рязань'!$T$7="Завод 'ТЕХНО' г.Рязань",'ЛАЙТ Рязань'!$T$7="Завод 'ТЕХНО' г.Заинск"),IF('ЛАЙТ Рязань'!$T$7="Завод 'ТЕХНО' г.Рязань",'ЛАЙТ Рязань'!R30*(1-'ЛАЙТ Рязань'!$V$5-'ЛАЙТ Рязань'!V30)+IFERROR(SEARCH("комп",J30)/SEARCH("комп",J30)*'ЛАЙТ Рязань'!$R$5,'ЛАЙТ Рязань'!O$5),'ЛАЙТ Заинск'!R30*(1-'ЛАЙТ Рязань'!$V$5-'ЛАЙТ Рязань'!V30)+IFERROR(SEARCH("комп",J30)/SEARCH("комп",J30)*'ЛАЙТ Рязань'!$R$5,'ЛАЙТ Рязань'!O$5)),'ЛАЙТ Юрга'!R30*(1-'ЛАЙТ Рязань'!$V$5-'ЛАЙТ Рязань'!V30)+IFERROR(SEARCH("комп",J30)/SEARCH("комп",J30)*'ЛАЙТ Рязань'!$R$5,'ЛАЙТ Рязань'!O$5)),"нет")</f>
        <v>1785</v>
      </c>
      <c r="T30" s="101">
        <f t="shared" si="3"/>
        <v>339.15</v>
      </c>
      <c r="U30" s="1228"/>
      <c r="V30" s="1229"/>
      <c r="W30" s="1228"/>
      <c r="X30" s="1235"/>
      <c r="Y30" s="1155"/>
      <c r="Z30" s="1156"/>
      <c r="AA30" s="1157"/>
      <c r="AB30" s="991"/>
      <c r="AC30" s="991"/>
      <c r="AD30" s="991"/>
      <c r="AE30" s="991"/>
      <c r="AF30" s="991"/>
      <c r="AG30" s="1022"/>
    </row>
    <row r="31" spans="1:35" ht="22.5" customHeight="1" thickBot="1" x14ac:dyDescent="0.3">
      <c r="A31" s="1372"/>
      <c r="B31" s="240">
        <v>1200</v>
      </c>
      <c r="C31" s="241">
        <v>600</v>
      </c>
      <c r="D31" s="242">
        <v>200</v>
      </c>
      <c r="E31" s="257" t="s">
        <v>98</v>
      </c>
      <c r="F31" s="604" t="str">
        <f>IF(OR('ЛАЙТ Рязань'!$T$7="Завод 'ТЕХНО' г.Рязань",'ЛАЙТ Рязань'!$T$7="Завод 'ТЕХНО' г.Заинск"),'ЛАЙТ Рязань'!F31,'ЛАЙТ Юрга'!F31)</f>
        <v>С</v>
      </c>
      <c r="G31" s="239">
        <v>322.58064516129031</v>
      </c>
      <c r="H31" s="258">
        <v>46.669653524492233</v>
      </c>
      <c r="I31" s="1180">
        <f>IF(OR('ЛАЙТ Рязань'!$T$7="Завод 'ТЕХНО' г.Рязань",'ЛАЙТ Рязань'!$T$7="Завод 'ТЕХНО' г.Заинск"),'ЛАЙТ Рязань'!G31,'ЛАЙТ Юрга'!G31)</f>
        <v>297.21600000000001</v>
      </c>
      <c r="J31" s="124" t="s">
        <v>83</v>
      </c>
      <c r="K31" s="128">
        <v>3</v>
      </c>
      <c r="L31" s="167">
        <f t="shared" ref="L31:L46" si="25">B31*C31*K31/1000000</f>
        <v>2.16</v>
      </c>
      <c r="M31" s="129">
        <f t="shared" ref="M31:M46" si="26">L31*D31/1000</f>
        <v>0.432</v>
      </c>
      <c r="N31" s="130">
        <v>16</v>
      </c>
      <c r="O31" s="174">
        <f t="shared" ref="O31:O46" si="27">M31*N31</f>
        <v>6.9119999999999999</v>
      </c>
      <c r="P31" s="260">
        <f t="shared" si="10"/>
        <v>76.031999999999996</v>
      </c>
      <c r="Q31" s="129"/>
      <c r="R31" s="479">
        <f t="shared" si="2"/>
        <v>771.12</v>
      </c>
      <c r="S31" s="787">
        <f>IFERROR(IF(OR('ЛАЙТ Рязань'!$T$7="Завод 'ТЕХНО' г.Рязань",'ЛАЙТ Рязань'!$T$7="Завод 'ТЕХНО' г.Заинск"),IF('ЛАЙТ Рязань'!$T$7="Завод 'ТЕХНО' г.Рязань",'ЛАЙТ Рязань'!R31*(1-'ЛАЙТ Рязань'!$V$5-'ЛАЙТ Рязань'!V31)+IFERROR(SEARCH("комп",J31)/SEARCH("комп",J31)*'ЛАЙТ Рязань'!$R$5,'ЛАЙТ Рязань'!O$5),'ЛАЙТ Заинск'!R31*(1-'ЛАЙТ Рязань'!$V$5-'ЛАЙТ Рязань'!V31)+IFERROR(SEARCH("комп",J31)/SEARCH("комп",J31)*'ЛАЙТ Рязань'!$R$5,'ЛАЙТ Рязань'!O$5)),'ЛАЙТ Юрга'!R31*(1-'ЛАЙТ Рязань'!$V$5-'ЛАЙТ Рязань'!V31)+IFERROR(SEARCH("комп",J31)/SEARCH("комп",J31)*'ЛАЙТ Рязань'!$R$5,'ЛАЙТ Рязань'!O$5)),"нет")</f>
        <v>1785</v>
      </c>
      <c r="T31" s="102">
        <f t="shared" si="3"/>
        <v>357</v>
      </c>
      <c r="U31" s="1228"/>
      <c r="V31" s="1229"/>
      <c r="W31" s="1228"/>
      <c r="X31" s="1235"/>
      <c r="Y31" s="1155"/>
      <c r="Z31" s="1156"/>
      <c r="AA31" s="1157"/>
      <c r="AB31" s="991"/>
      <c r="AC31" s="991"/>
      <c r="AD31" s="991"/>
      <c r="AE31" s="991"/>
      <c r="AF31" s="991"/>
      <c r="AG31" s="1022"/>
      <c r="AI31" s="1023"/>
    </row>
    <row r="32" spans="1:35" ht="22.5" customHeight="1" thickBot="1" x14ac:dyDescent="0.3">
      <c r="A32" s="35" t="s">
        <v>8</v>
      </c>
      <c r="B32" s="252">
        <v>1200</v>
      </c>
      <c r="C32" s="250">
        <v>600</v>
      </c>
      <c r="D32" s="251">
        <v>50</v>
      </c>
      <c r="E32" s="253" t="s">
        <v>118</v>
      </c>
      <c r="F32" s="604" t="str">
        <f>IF(OR('ЛАЙТ Рязань'!$T$7="Завод 'ТЕХНО' г.Рязань",'ЛАЙТ Рязань'!$T$7="Завод 'ТЕХНО' г.Заинск"),'ЛАЙТ Рязань'!F32,'ЛАЙТ Юрга'!F32)</f>
        <v>А</v>
      </c>
      <c r="G32" s="256"/>
      <c r="H32" s="259">
        <v>0</v>
      </c>
      <c r="I32" s="1178" t="str">
        <f>IF(OR('ЛАЙТ Рязань'!$T$7="Завод 'ТЕХНО' г.Рязань",'ЛАЙТ Рязань'!$T$7="Завод 'ТЕХНО' г.Заинск"),'ЛАЙТ Рязань'!G32,'ЛАЙТ Юрга'!G32)</f>
        <v xml:space="preserve"> </v>
      </c>
      <c r="J32" s="259" t="s">
        <v>83</v>
      </c>
      <c r="K32" s="131">
        <v>12</v>
      </c>
      <c r="L32" s="168">
        <f t="shared" si="25"/>
        <v>8.64</v>
      </c>
      <c r="M32" s="132">
        <f t="shared" si="26"/>
        <v>0.432</v>
      </c>
      <c r="N32" s="133">
        <v>16</v>
      </c>
      <c r="O32" s="172">
        <f t="shared" si="27"/>
        <v>6.9119999999999999</v>
      </c>
      <c r="P32" s="223">
        <f t="shared" si="10"/>
        <v>76.031999999999996</v>
      </c>
      <c r="Q32" s="132"/>
      <c r="R32" s="88">
        <f t="shared" si="2"/>
        <v>858.38400000000001</v>
      </c>
      <c r="S32" s="786">
        <f>IFERROR(IF(OR('ЛАЙТ Рязань'!$T$7="Завод 'ТЕХНО' г.Рязань",'ЛАЙТ Рязань'!$T$7="Завод 'ТЕХНО' г.Заинск"),IF('ЛАЙТ Рязань'!$T$7="Завод 'ТЕХНО' г.Рязань",'ЛАЙТ Рязань'!R32*(1-'ЛАЙТ Рязань'!$V$5-'ЛАЙТ Рязань'!V32)+IFERROR(SEARCH("комп",J32)/SEARCH("комп",J32)*'ЛАЙТ Рязань'!$R$5,'ЛАЙТ Рязань'!O$5),'ЛАЙТ Заинск'!R32*(1-'ЛАЙТ Рязань'!$V$5-'ЛАЙТ Рязань'!V32)+IFERROR(SEARCH("комп",J32)/SEARCH("комп",J32)*'ЛАЙТ Рязань'!$R$5,'ЛАЙТ Рязань'!O$5)),'ЛАЙТ Юрга'!R32*(1-'ЛАЙТ Рязань'!$V$5-'ЛАЙТ Рязань'!V32)+IFERROR(SEARCH("комп",J32)/SEARCH("комп",J32)*'ЛАЙТ Рязань'!$R$5,'ЛАЙТ Рязань'!O$5)),"нет")</f>
        <v>1987</v>
      </c>
      <c r="T32" s="101">
        <f t="shared" si="3"/>
        <v>99.35</v>
      </c>
      <c r="U32" s="1228"/>
      <c r="V32" s="1229"/>
      <c r="W32" s="1228"/>
      <c r="X32" s="1235"/>
      <c r="Y32" s="1155"/>
      <c r="Z32" s="1156"/>
      <c r="AA32" s="1157"/>
      <c r="AB32" s="991"/>
      <c r="AC32" s="991"/>
      <c r="AD32" s="991"/>
      <c r="AE32" s="991"/>
      <c r="AF32" s="991"/>
      <c r="AG32" s="1022"/>
      <c r="AH32" s="1024"/>
      <c r="AI32" s="953"/>
    </row>
    <row r="33" spans="1:35" ht="22.5" customHeight="1" thickBot="1" x14ac:dyDescent="0.3">
      <c r="A33" s="1246" t="s">
        <v>31</v>
      </c>
      <c r="B33" s="203">
        <v>1200</v>
      </c>
      <c r="C33" s="204">
        <v>600</v>
      </c>
      <c r="D33" s="209">
        <v>60</v>
      </c>
      <c r="E33" s="254" t="s">
        <v>119</v>
      </c>
      <c r="F33" s="604" t="str">
        <f>IF(OR('ЛАЙТ Рязань'!$T$7="Завод 'ТЕХНО' г.Рязань",'ЛАЙТ Рязань'!$T$7="Завод 'ТЕХНО' г.Заинск"),'ЛАЙТ Рязань'!F33,'ЛАЙТ Юрга'!F33)</f>
        <v>С</v>
      </c>
      <c r="G33" s="205">
        <v>285.71428571428572</v>
      </c>
      <c r="H33" s="124">
        <v>41.335978835978835</v>
      </c>
      <c r="I33" s="1179">
        <f>IF(OR('ЛАЙТ Рязань'!$T$7="Завод 'ТЕХНО' г.Рязань",'ЛАЙТ Рязань'!$T$7="Завод 'ТЕХНО' г.Заинск"),'ЛАЙТ Рязань'!G33,'ЛАЙТ Юрга'!G33)</f>
        <v>269.56799999999998</v>
      </c>
      <c r="J33" s="170">
        <v>953.85599999999999</v>
      </c>
      <c r="K33" s="125">
        <v>10</v>
      </c>
      <c r="L33" s="166">
        <f t="shared" si="25"/>
        <v>7.2</v>
      </c>
      <c r="M33" s="126">
        <f t="shared" si="26"/>
        <v>0.432</v>
      </c>
      <c r="N33" s="127">
        <v>16</v>
      </c>
      <c r="O33" s="172">
        <f t="shared" si="27"/>
        <v>6.9119999999999999</v>
      </c>
      <c r="P33" s="231">
        <f t="shared" si="10"/>
        <v>76.031999999999996</v>
      </c>
      <c r="Q33" s="126"/>
      <c r="R33" s="88">
        <f t="shared" si="2"/>
        <v>858.38400000000001</v>
      </c>
      <c r="S33" s="786">
        <f>IFERROR(IF(OR('ЛАЙТ Рязань'!$T$7="Завод 'ТЕХНО' г.Рязань",'ЛАЙТ Рязань'!$T$7="Завод 'ТЕХНО' г.Заинск"),IF('ЛАЙТ Рязань'!$T$7="Завод 'ТЕХНО' г.Рязань",'ЛАЙТ Рязань'!R33*(1-'ЛАЙТ Рязань'!$V$5-'ЛАЙТ Рязань'!V33)+IFERROR(SEARCH("комп",J33)/SEARCH("комп",J33)*'ЛАЙТ Рязань'!$R$5,'ЛАЙТ Рязань'!O$5),'ЛАЙТ Заинск'!R33*(1-'ЛАЙТ Рязань'!$V$5-'ЛАЙТ Рязань'!V33)+IFERROR(SEARCH("комп",J33)/SEARCH("комп",J33)*'ЛАЙТ Рязань'!$R$5,'ЛАЙТ Рязань'!O$5)),'ЛАЙТ Юрга'!R33*(1-'ЛАЙТ Рязань'!$V$5-'ЛАЙТ Рязань'!V33)+IFERROR(SEARCH("комп",J33)/SEARCH("комп",J33)*'ЛАЙТ Рязань'!$R$5,'ЛАЙТ Рязань'!O$5)),"нет")</f>
        <v>1987</v>
      </c>
      <c r="T33" s="101">
        <f t="shared" si="3"/>
        <v>119.22</v>
      </c>
      <c r="U33" s="1228"/>
      <c r="V33" s="1229"/>
      <c r="W33" s="1228"/>
      <c r="X33" s="1235"/>
      <c r="Y33" s="1155"/>
      <c r="Z33" s="1156"/>
      <c r="AA33" s="1157"/>
      <c r="AB33" s="991"/>
      <c r="AC33" s="991"/>
      <c r="AD33" s="991"/>
      <c r="AE33" s="991"/>
      <c r="AF33" s="991"/>
      <c r="AG33" s="1022"/>
      <c r="AH33" s="1024"/>
    </row>
    <row r="34" spans="1:35" ht="22.5" customHeight="1" thickBot="1" x14ac:dyDescent="0.3">
      <c r="A34" s="1246"/>
      <c r="B34" s="203">
        <v>1200</v>
      </c>
      <c r="C34" s="204">
        <v>600</v>
      </c>
      <c r="D34" s="209">
        <v>70</v>
      </c>
      <c r="E34" s="254" t="s">
        <v>120</v>
      </c>
      <c r="F34" s="604" t="str">
        <f>IF(OR('ЛАЙТ Рязань'!$T$7="Завод 'ТЕХНО' г.Рязань",'ЛАЙТ Рязань'!$T$7="Завод 'ТЕХНО' г.Заинск"),'ЛАЙТ Рязань'!F34,'ЛАЙТ Юрга'!F34)</f>
        <v>С</v>
      </c>
      <c r="G34" s="205">
        <v>285.71428571428572</v>
      </c>
      <c r="H34" s="124">
        <v>44.288548752834465</v>
      </c>
      <c r="I34" s="1179">
        <f>IF(OR('ЛАЙТ Рязань'!$T$7="Завод 'ТЕХНО' г.Рязань",'ЛАЙТ Рязань'!$T$7="Завод 'ТЕХНО' г.Заинск"),'ЛАЙТ Рязань'!G34,'ЛАЙТ Юрга'!G34)</f>
        <v>264.49919999999997</v>
      </c>
      <c r="J34" s="170">
        <v>928.97280000000001</v>
      </c>
      <c r="K34" s="125">
        <v>8</v>
      </c>
      <c r="L34" s="166">
        <f t="shared" si="25"/>
        <v>5.76</v>
      </c>
      <c r="M34" s="126">
        <f t="shared" si="26"/>
        <v>0.4032</v>
      </c>
      <c r="N34" s="127">
        <v>16</v>
      </c>
      <c r="O34" s="172">
        <f t="shared" si="27"/>
        <v>6.4512</v>
      </c>
      <c r="P34" s="231">
        <f t="shared" si="10"/>
        <v>70.963200000000001</v>
      </c>
      <c r="Q34" s="126"/>
      <c r="R34" s="88">
        <f t="shared" si="2"/>
        <v>801.15840000000003</v>
      </c>
      <c r="S34" s="786">
        <f>IFERROR(IF(OR('ЛАЙТ Рязань'!$T$7="Завод 'ТЕХНО' г.Рязань",'ЛАЙТ Рязань'!$T$7="Завод 'ТЕХНО' г.Заинск"),IF('ЛАЙТ Рязань'!$T$7="Завод 'ТЕХНО' г.Рязань",'ЛАЙТ Рязань'!R34*(1-'ЛАЙТ Рязань'!$V$5-'ЛАЙТ Рязань'!V34)+IFERROR(SEARCH("комп",J34)/SEARCH("комп",J34)*'ЛАЙТ Рязань'!$R$5,'ЛАЙТ Рязань'!O$5),'ЛАЙТ Заинск'!R34*(1-'ЛАЙТ Рязань'!$V$5-'ЛАЙТ Рязань'!V34)+IFERROR(SEARCH("комп",J34)/SEARCH("комп",J34)*'ЛАЙТ Рязань'!$R$5,'ЛАЙТ Рязань'!O$5)),'ЛАЙТ Юрга'!R34*(1-'ЛАЙТ Рязань'!$V$5-'ЛАЙТ Рязань'!V34)+IFERROR(SEARCH("комп",J34)/SEARCH("комп",J34)*'ЛАЙТ Рязань'!$R$5,'ЛАЙТ Рязань'!O$5)),"нет")</f>
        <v>1987</v>
      </c>
      <c r="T34" s="101">
        <f t="shared" si="3"/>
        <v>139.09</v>
      </c>
      <c r="U34" s="1228"/>
      <c r="V34" s="1229"/>
      <c r="W34" s="1228"/>
      <c r="X34" s="1235"/>
      <c r="Y34" s="1155"/>
      <c r="Z34" s="1156"/>
      <c r="AA34" s="1157"/>
      <c r="AB34" s="991"/>
      <c r="AC34" s="991"/>
      <c r="AD34" s="991"/>
      <c r="AE34" s="991"/>
      <c r="AF34" s="991"/>
      <c r="AG34" s="1022"/>
      <c r="AH34" s="1024"/>
      <c r="AI34" s="953"/>
    </row>
    <row r="35" spans="1:35" ht="22.5" customHeight="1" thickBot="1" x14ac:dyDescent="0.3">
      <c r="A35" s="1246"/>
      <c r="B35" s="203">
        <v>1200</v>
      </c>
      <c r="C35" s="204">
        <v>600</v>
      </c>
      <c r="D35" s="209">
        <v>80</v>
      </c>
      <c r="E35" s="254" t="s">
        <v>121</v>
      </c>
      <c r="F35" s="604" t="str">
        <f>IF(OR('ЛАЙТ Рязань'!$T$7="Завод 'ТЕХНО' г.Рязань",'ЛАЙТ Рязань'!$T$7="Завод 'ТЕХНО' г.Заинск"),'ЛАЙТ Рязань'!F35,'ЛАЙТ Юрга'!F35)</f>
        <v>С</v>
      </c>
      <c r="G35" s="205">
        <v>285.71428571428572</v>
      </c>
      <c r="H35" s="124">
        <v>41.335978835978835</v>
      </c>
      <c r="I35" s="1179">
        <f>IF(OR('ЛАЙТ Рязань'!$T$7="Завод 'ТЕХНО' г.Рязань",'ЛАЙТ Рязань'!$T$7="Завод 'ТЕХНО' г.Заинск"),'ЛАЙТ Рязань'!G35,'ЛАЙТ Юрга'!G35)</f>
        <v>269.56800000000004</v>
      </c>
      <c r="J35" s="170">
        <v>870.91200000000003</v>
      </c>
      <c r="K35" s="125">
        <v>6</v>
      </c>
      <c r="L35" s="166">
        <f t="shared" si="25"/>
        <v>4.32</v>
      </c>
      <c r="M35" s="126">
        <f t="shared" si="26"/>
        <v>0.34560000000000002</v>
      </c>
      <c r="N35" s="127">
        <v>20</v>
      </c>
      <c r="O35" s="172">
        <f t="shared" si="27"/>
        <v>6.9120000000000008</v>
      </c>
      <c r="P35" s="231">
        <f t="shared" si="10"/>
        <v>76.032000000000011</v>
      </c>
      <c r="Q35" s="126"/>
      <c r="R35" s="88">
        <f t="shared" si="2"/>
        <v>686.70720000000006</v>
      </c>
      <c r="S35" s="786">
        <f>IFERROR(IF(OR('ЛАЙТ Рязань'!$T$7="Завод 'ТЕХНО' г.Рязань",'ЛАЙТ Рязань'!$T$7="Завод 'ТЕХНО' г.Заинск"),IF('ЛАЙТ Рязань'!$T$7="Завод 'ТЕХНО' г.Рязань",'ЛАЙТ Рязань'!R35*(1-'ЛАЙТ Рязань'!$V$5-'ЛАЙТ Рязань'!V35)+IFERROR(SEARCH("комп",J35)/SEARCH("комп",J35)*'ЛАЙТ Рязань'!$R$5,'ЛАЙТ Рязань'!O$5),'ЛАЙТ Заинск'!R35*(1-'ЛАЙТ Рязань'!$V$5-'ЛАЙТ Рязань'!V35)+IFERROR(SEARCH("комп",J35)/SEARCH("комп",J35)*'ЛАЙТ Рязань'!$R$5,'ЛАЙТ Рязань'!O$5)),'ЛАЙТ Юрга'!R35*(1-'ЛАЙТ Рязань'!$V$5-'ЛАЙТ Рязань'!V35)+IFERROR(SEARCH("комп",J35)/SEARCH("комп",J35)*'ЛАЙТ Рязань'!$R$5,'ЛАЙТ Рязань'!O$5)),"нет")</f>
        <v>1987</v>
      </c>
      <c r="T35" s="101">
        <f t="shared" si="3"/>
        <v>158.96</v>
      </c>
      <c r="U35" s="1228"/>
      <c r="V35" s="1229"/>
      <c r="W35" s="1228"/>
      <c r="X35" s="1235"/>
      <c r="Y35" s="1155"/>
      <c r="Z35" s="1156"/>
      <c r="AA35" s="1157"/>
      <c r="AB35" s="991"/>
      <c r="AC35" s="991"/>
      <c r="AD35" s="991"/>
      <c r="AE35" s="991"/>
      <c r="AF35" s="991"/>
      <c r="AG35" s="1022"/>
      <c r="AH35" s="1024"/>
    </row>
    <row r="36" spans="1:35" ht="22.5" customHeight="1" thickBot="1" x14ac:dyDescent="0.3">
      <c r="A36" s="1246"/>
      <c r="B36" s="203">
        <v>1200</v>
      </c>
      <c r="C36" s="204">
        <v>600</v>
      </c>
      <c r="D36" s="209">
        <v>90</v>
      </c>
      <c r="E36" s="254" t="s">
        <v>122</v>
      </c>
      <c r="F36" s="604" t="str">
        <f>IF(OR('ЛАЙТ Рязань'!$T$7="Завод 'ТЕХНО' г.Рязань",'ЛАЙТ Рязань'!$T$7="Завод 'ТЕХНО' г.Заинск"),'ЛАЙТ Рязань'!F36,'ЛАЙТ Юрга'!F36)</f>
        <v>С</v>
      </c>
      <c r="G36" s="205">
        <v>285.71428571428572</v>
      </c>
      <c r="H36" s="124">
        <v>45.928865373309819</v>
      </c>
      <c r="I36" s="1179">
        <f>IF(OR('ЛАЙТ Рязань'!$T$7="Завод 'ТЕХНО' г.Рязань",'ЛАЙТ Рязань'!$T$7="Завод 'ТЕХНО' г.Заинск"),'ЛАЙТ Рязань'!G36,'ЛАЙТ Юрга'!G36)</f>
        <v>267.49440000000004</v>
      </c>
      <c r="J36" s="170">
        <v>858.47039999999993</v>
      </c>
      <c r="K36" s="125">
        <v>6</v>
      </c>
      <c r="L36" s="166">
        <f t="shared" si="25"/>
        <v>4.32</v>
      </c>
      <c r="M36" s="126">
        <f t="shared" si="26"/>
        <v>0.38880000000000003</v>
      </c>
      <c r="N36" s="127">
        <v>16</v>
      </c>
      <c r="O36" s="172">
        <f t="shared" si="27"/>
        <v>6.2208000000000006</v>
      </c>
      <c r="P36" s="231">
        <f t="shared" si="10"/>
        <v>68.42880000000001</v>
      </c>
      <c r="Q36" s="126"/>
      <c r="R36" s="88">
        <f t="shared" si="2"/>
        <v>772.54560000000004</v>
      </c>
      <c r="S36" s="786">
        <f>IFERROR(IF(OR('ЛАЙТ Рязань'!$T$7="Завод 'ТЕХНО' г.Рязань",'ЛАЙТ Рязань'!$T$7="Завод 'ТЕХНО' г.Заинск"),IF('ЛАЙТ Рязань'!$T$7="Завод 'ТЕХНО' г.Рязань",'ЛАЙТ Рязань'!R36*(1-'ЛАЙТ Рязань'!$V$5-'ЛАЙТ Рязань'!V36)+IFERROR(SEARCH("комп",J36)/SEARCH("комп",J36)*'ЛАЙТ Рязань'!$R$5,'ЛАЙТ Рязань'!O$5),'ЛАЙТ Заинск'!R36*(1-'ЛАЙТ Рязань'!$V$5-'ЛАЙТ Рязань'!V36)+IFERROR(SEARCH("комп",J36)/SEARCH("комп",J36)*'ЛАЙТ Рязань'!$R$5,'ЛАЙТ Рязань'!O$5)),'ЛАЙТ Юрга'!R36*(1-'ЛАЙТ Рязань'!$V$5-'ЛАЙТ Рязань'!V36)+IFERROR(SEARCH("комп",J36)/SEARCH("комп",J36)*'ЛАЙТ Рязань'!$R$5,'ЛАЙТ Рязань'!O$5)),"нет")</f>
        <v>1987</v>
      </c>
      <c r="T36" s="101">
        <f t="shared" si="3"/>
        <v>178.83</v>
      </c>
      <c r="U36" s="1228"/>
      <c r="V36" s="1229"/>
      <c r="W36" s="1228"/>
      <c r="X36" s="1235"/>
      <c r="Y36" s="1155"/>
      <c r="Z36" s="1156"/>
      <c r="AA36" s="1157"/>
      <c r="AB36" s="991"/>
      <c r="AC36" s="991"/>
      <c r="AD36" s="991"/>
      <c r="AE36" s="991"/>
      <c r="AF36" s="991"/>
      <c r="AG36" s="1022"/>
      <c r="AH36" s="1024"/>
    </row>
    <row r="37" spans="1:35" ht="22.5" customHeight="1" thickBot="1" x14ac:dyDescent="0.3">
      <c r="A37" s="1246"/>
      <c r="B37" s="203">
        <v>1200</v>
      </c>
      <c r="C37" s="204">
        <v>600</v>
      </c>
      <c r="D37" s="209">
        <v>100</v>
      </c>
      <c r="E37" s="254" t="s">
        <v>123</v>
      </c>
      <c r="F37" s="604" t="str">
        <f>IF(OR('ЛАЙТ Рязань'!$T$7="Завод 'ТЕХНО' г.Рязань",'ЛАЙТ Рязань'!$T$7="Завод 'ТЕХНО' г.Заинск"),'ЛАЙТ Рязань'!F37,'ЛАЙТ Юрга'!F37)</f>
        <v>Б</v>
      </c>
      <c r="G37" s="205"/>
      <c r="H37" s="124">
        <v>0</v>
      </c>
      <c r="I37" s="1179" t="str">
        <f>IF(OR('ЛАЙТ Рязань'!$T$7="Завод 'ТЕХНО' г.Рязань",'ЛАЙТ Рязань'!$T$7="Завод 'ТЕХНО' г.Заинск"),'ЛАЙТ Рязань'!G37,'ЛАЙТ Юрга'!G37)</f>
        <v xml:space="preserve"> </v>
      </c>
      <c r="J37" s="224" t="s">
        <v>83</v>
      </c>
      <c r="K37" s="125">
        <v>6</v>
      </c>
      <c r="L37" s="166">
        <f t="shared" si="25"/>
        <v>4.32</v>
      </c>
      <c r="M37" s="126">
        <f t="shared" si="26"/>
        <v>0.432</v>
      </c>
      <c r="N37" s="127">
        <v>16</v>
      </c>
      <c r="O37" s="172">
        <f t="shared" si="27"/>
        <v>6.9119999999999999</v>
      </c>
      <c r="P37" s="231">
        <f t="shared" si="10"/>
        <v>76.031999999999996</v>
      </c>
      <c r="Q37" s="126"/>
      <c r="R37" s="88">
        <f t="shared" si="2"/>
        <v>858.38400000000001</v>
      </c>
      <c r="S37" s="786">
        <f>IFERROR(IF(OR('ЛАЙТ Рязань'!$T$7="Завод 'ТЕХНО' г.Рязань",'ЛАЙТ Рязань'!$T$7="Завод 'ТЕХНО' г.Заинск"),IF('ЛАЙТ Рязань'!$T$7="Завод 'ТЕХНО' г.Рязань",'ЛАЙТ Рязань'!R37*(1-'ЛАЙТ Рязань'!$V$5-'ЛАЙТ Рязань'!V37)+IFERROR(SEARCH("комп",J37)/SEARCH("комп",J37)*'ЛАЙТ Рязань'!$R$5,'ЛАЙТ Рязань'!O$5),'ЛАЙТ Заинск'!R37*(1-'ЛАЙТ Рязань'!$V$5-'ЛАЙТ Рязань'!V37)+IFERROR(SEARCH("комп",J37)/SEARCH("комп",J37)*'ЛАЙТ Рязань'!$R$5,'ЛАЙТ Рязань'!O$5)),'ЛАЙТ Юрга'!R37*(1-'ЛАЙТ Рязань'!$V$5-'ЛАЙТ Рязань'!V37)+IFERROR(SEARCH("комп",J37)/SEARCH("комп",J37)*'ЛАЙТ Рязань'!$R$5,'ЛАЙТ Рязань'!O$5)),"нет")</f>
        <v>1987</v>
      </c>
      <c r="T37" s="101">
        <f t="shared" si="3"/>
        <v>198.7</v>
      </c>
      <c r="U37" s="1228"/>
      <c r="V37" s="1229"/>
      <c r="W37" s="1228"/>
      <c r="X37" s="1235"/>
      <c r="Y37" s="1155"/>
      <c r="Z37" s="1156"/>
      <c r="AA37" s="1157"/>
      <c r="AB37" s="991"/>
      <c r="AC37" s="991"/>
      <c r="AD37" s="991"/>
      <c r="AE37" s="991"/>
      <c r="AF37" s="991"/>
      <c r="AG37" s="1022"/>
      <c r="AH37" s="1024"/>
      <c r="AI37" s="953"/>
    </row>
    <row r="38" spans="1:35" ht="22.5" customHeight="1" thickBot="1" x14ac:dyDescent="0.3">
      <c r="A38" s="1246"/>
      <c r="B38" s="203">
        <v>1200</v>
      </c>
      <c r="C38" s="204">
        <v>600</v>
      </c>
      <c r="D38" s="209">
        <v>110</v>
      </c>
      <c r="E38" s="254" t="s">
        <v>124</v>
      </c>
      <c r="F38" s="604" t="str">
        <f>IF(OR('ЛАЙТ Рязань'!$T$7="Завод 'ТЕХНО' г.Рязань",'ЛАЙТ Рязань'!$T$7="Завод 'ТЕХНО' г.Заинск"),'ЛАЙТ Рязань'!F38,'ЛАЙТ Юрга'!F38)</f>
        <v>С</v>
      </c>
      <c r="G38" s="205">
        <v>285.71428571428572</v>
      </c>
      <c r="H38" s="124">
        <v>45.093795093795094</v>
      </c>
      <c r="I38" s="1179">
        <f>IF(OR('ЛАЙТ Рязань'!$T$7="Завод 'ТЕХНО' г.Рязань",'ЛАЙТ Рязань'!$T$7="Завод 'ТЕХНО' г.Заинск"),'ЛАЙТ Рязань'!G38,'ЛАЙТ Юрга'!G38)</f>
        <v>266.11200000000002</v>
      </c>
      <c r="J38" s="170">
        <v>874.36800000000005</v>
      </c>
      <c r="K38" s="125">
        <v>5</v>
      </c>
      <c r="L38" s="166">
        <f t="shared" si="25"/>
        <v>3.6</v>
      </c>
      <c r="M38" s="126">
        <f t="shared" si="26"/>
        <v>0.39600000000000002</v>
      </c>
      <c r="N38" s="127">
        <v>16</v>
      </c>
      <c r="O38" s="172">
        <f t="shared" si="27"/>
        <v>6.3360000000000003</v>
      </c>
      <c r="P38" s="231">
        <f t="shared" si="10"/>
        <v>69.695999999999998</v>
      </c>
      <c r="Q38" s="126"/>
      <c r="R38" s="88">
        <f t="shared" si="2"/>
        <v>786.85200000000009</v>
      </c>
      <c r="S38" s="786">
        <f>IFERROR(IF(OR('ЛАЙТ Рязань'!$T$7="Завод 'ТЕХНО' г.Рязань",'ЛАЙТ Рязань'!$T$7="Завод 'ТЕХНО' г.Заинск"),IF('ЛАЙТ Рязань'!$T$7="Завод 'ТЕХНО' г.Рязань",'ЛАЙТ Рязань'!R38*(1-'ЛАЙТ Рязань'!$V$5-'ЛАЙТ Рязань'!V38)+IFERROR(SEARCH("комп",J38)/SEARCH("комп",J38)*'ЛАЙТ Рязань'!$R$5,'ЛАЙТ Рязань'!O$5),'ЛАЙТ Заинск'!R38*(1-'ЛАЙТ Рязань'!$V$5-'ЛАЙТ Рязань'!V38)+IFERROR(SEARCH("комп",J38)/SEARCH("комп",J38)*'ЛАЙТ Рязань'!$R$5,'ЛАЙТ Рязань'!O$5)),'ЛАЙТ Юрга'!R38*(1-'ЛАЙТ Рязань'!$V$5-'ЛАЙТ Рязань'!V38)+IFERROR(SEARCH("комп",J38)/SEARCH("комп",J38)*'ЛАЙТ Рязань'!$R$5,'ЛАЙТ Рязань'!O$5)),"нет")</f>
        <v>1987</v>
      </c>
      <c r="T38" s="101">
        <f t="shared" si="3"/>
        <v>218.57</v>
      </c>
      <c r="U38" s="1228"/>
      <c r="V38" s="1229"/>
      <c r="W38" s="1228"/>
      <c r="X38" s="1235"/>
      <c r="Y38" s="1155"/>
      <c r="Z38" s="1156"/>
      <c r="AA38" s="1157"/>
      <c r="AB38" s="991"/>
      <c r="AC38" s="991"/>
      <c r="AD38" s="991"/>
      <c r="AE38" s="991"/>
      <c r="AF38" s="991"/>
      <c r="AG38" s="1022"/>
      <c r="AH38" s="1024"/>
    </row>
    <row r="39" spans="1:35" ht="22.5" customHeight="1" thickBot="1" x14ac:dyDescent="0.3">
      <c r="A39" s="1246"/>
      <c r="B39" s="203">
        <v>1200</v>
      </c>
      <c r="C39" s="204">
        <v>600</v>
      </c>
      <c r="D39" s="209">
        <v>120</v>
      </c>
      <c r="E39" s="254" t="s">
        <v>125</v>
      </c>
      <c r="F39" s="604" t="str">
        <f>IF(OR('ЛАЙТ Рязань'!$T$7="Завод 'ТЕХНО' г.Рязань",'ЛАЙТ Рязань'!$T$7="Завод 'ТЕХНО' г.Заинск"),'ЛАЙТ Рязань'!F39,'ЛАЙТ Юрга'!F39)</f>
        <v>С</v>
      </c>
      <c r="G39" s="205">
        <v>285.71428571428572</v>
      </c>
      <c r="H39" s="124">
        <v>41.335978835978835</v>
      </c>
      <c r="I39" s="1179">
        <f>IF(OR('ЛАЙТ Рязань'!$T$7="Завод 'ТЕХНО' г.Рязань",'ЛАЙТ Рязань'!$T$7="Завод 'ТЕХНО' г.Заинск"),'ЛАЙТ Рязань'!G39,'ЛАЙТ Юрга'!G39)</f>
        <v>269.56799999999998</v>
      </c>
      <c r="J39" s="170">
        <v>870.91199999999992</v>
      </c>
      <c r="K39" s="125">
        <v>5</v>
      </c>
      <c r="L39" s="166">
        <f t="shared" si="25"/>
        <v>3.6</v>
      </c>
      <c r="M39" s="126">
        <f t="shared" si="26"/>
        <v>0.432</v>
      </c>
      <c r="N39" s="127">
        <v>16</v>
      </c>
      <c r="O39" s="172">
        <f t="shared" si="27"/>
        <v>6.9119999999999999</v>
      </c>
      <c r="P39" s="231">
        <f t="shared" si="10"/>
        <v>76.031999999999996</v>
      </c>
      <c r="Q39" s="126"/>
      <c r="R39" s="88">
        <f t="shared" si="2"/>
        <v>858.38400000000001</v>
      </c>
      <c r="S39" s="786">
        <f>IFERROR(IF(OR('ЛАЙТ Рязань'!$T$7="Завод 'ТЕХНО' г.Рязань",'ЛАЙТ Рязань'!$T$7="Завод 'ТЕХНО' г.Заинск"),IF('ЛАЙТ Рязань'!$T$7="Завод 'ТЕХНО' г.Рязань",'ЛАЙТ Рязань'!R39*(1-'ЛАЙТ Рязань'!$V$5-'ЛАЙТ Рязань'!V39)+IFERROR(SEARCH("комп",J39)/SEARCH("комп",J39)*'ЛАЙТ Рязань'!$R$5,'ЛАЙТ Рязань'!O$5),'ЛАЙТ Заинск'!R39*(1-'ЛАЙТ Рязань'!$V$5-'ЛАЙТ Рязань'!V39)+IFERROR(SEARCH("комп",J39)/SEARCH("комп",J39)*'ЛАЙТ Рязань'!$R$5,'ЛАЙТ Рязань'!O$5)),'ЛАЙТ Юрга'!R39*(1-'ЛАЙТ Рязань'!$V$5-'ЛАЙТ Рязань'!V39)+IFERROR(SEARCH("комп",J39)/SEARCH("комп",J39)*'ЛАЙТ Рязань'!$R$5,'ЛАЙТ Рязань'!O$5)),"нет")</f>
        <v>1987</v>
      </c>
      <c r="T39" s="101">
        <f t="shared" si="3"/>
        <v>238.44</v>
      </c>
      <c r="U39" s="1228"/>
      <c r="V39" s="1229"/>
      <c r="W39" s="1228"/>
      <c r="X39" s="1235"/>
      <c r="Y39" s="1155"/>
      <c r="Z39" s="1156"/>
      <c r="AA39" s="1157"/>
      <c r="AB39" s="991"/>
      <c r="AC39" s="991"/>
      <c r="AD39" s="991"/>
      <c r="AE39" s="991"/>
      <c r="AF39" s="991"/>
      <c r="AG39" s="1022"/>
      <c r="AH39" s="1024"/>
    </row>
    <row r="40" spans="1:35" ht="22.5" customHeight="1" thickBot="1" x14ac:dyDescent="0.3">
      <c r="A40" s="1246"/>
      <c r="B40" s="203">
        <v>1200</v>
      </c>
      <c r="C40" s="204">
        <v>600</v>
      </c>
      <c r="D40" s="209">
        <v>130</v>
      </c>
      <c r="E40" s="254" t="s">
        <v>695</v>
      </c>
      <c r="F40" s="604" t="str">
        <f>IF(OR('ЛАЙТ Рязань'!$T$7="Завод 'ТЕХНО' г.Рязань",'ЛАЙТ Рязань'!$T$7="Завод 'ТЕХНО' г.Заинск"),'ЛАЙТ Рязань'!F39,'ЛАЙТ Юрга'!F39)</f>
        <v>С</v>
      </c>
      <c r="G40" s="205">
        <v>285.71428571428572</v>
      </c>
      <c r="H40" s="124">
        <v>47.695360195360195</v>
      </c>
      <c r="I40" s="1179">
        <f>IF(OR('ЛАЙТ Рязань'!$T$7="Завод 'ТЕХНО' г.Рязань",'ЛАЙТ Рязань'!$T$7="Завод 'ТЕХНО' г.Заинск"),'ЛАЙТ Рязань'!G40,'ЛАЙТ Юрга'!G40)</f>
        <v>269.56799999999998</v>
      </c>
      <c r="J40" s="170">
        <v>862.61760000000004</v>
      </c>
      <c r="K40" s="125">
        <v>3</v>
      </c>
      <c r="L40" s="166">
        <f t="shared" ref="L40" si="28">B40*C40*K40/1000000</f>
        <v>2.16</v>
      </c>
      <c r="M40" s="126">
        <f t="shared" ref="M40" si="29">L40*D40/1000</f>
        <v>0.28079999999999999</v>
      </c>
      <c r="N40" s="127">
        <v>24</v>
      </c>
      <c r="O40" s="172">
        <f t="shared" ref="O40" si="30">M40*N40</f>
        <v>6.7392000000000003</v>
      </c>
      <c r="P40" s="231">
        <f t="shared" ref="P40" si="31">O40*11</f>
        <v>74.131200000000007</v>
      </c>
      <c r="Q40" s="126"/>
      <c r="R40" s="88">
        <f t="shared" ref="R40" si="32">IFERROR(M40*S40,"---")</f>
        <v>557.94960000000003</v>
      </c>
      <c r="S40" s="786">
        <f>IFERROR(IF(OR('ЛАЙТ Рязань'!$T$7="Завод 'ТЕХНО' г.Рязань",'ЛАЙТ Рязань'!$T$7="Завод 'ТЕХНО' г.Заинск"),IF('ЛАЙТ Рязань'!$T$7="Завод 'ТЕХНО' г.Рязань",'ЛАЙТ Рязань'!R40*(1-'ЛАЙТ Рязань'!$V$5-'ЛАЙТ Рязань'!V40)+IFERROR(SEARCH("комп",J40)/SEARCH("комп",J40)*'ЛАЙТ Рязань'!$R$5,'ЛАЙТ Рязань'!O$5),'ЛАЙТ Заинск'!R40*(1-'ЛАЙТ Рязань'!$V$5-'ЛАЙТ Рязань'!V40)+IFERROR(SEARCH("комп",J40)/SEARCH("комп",J40)*'ЛАЙТ Рязань'!$R$5,'ЛАЙТ Рязань'!O$5)),'ЛАЙТ Юрга'!R40*(1-'ЛАЙТ Рязань'!$V$5-'ЛАЙТ Рязань'!V40)+IFERROR(SEARCH("комп",J40)/SEARCH("комп",J40)*'ЛАЙТ Рязань'!$R$5,'ЛАЙТ Рязань'!O$5)),"нет")</f>
        <v>1987</v>
      </c>
      <c r="T40" s="101">
        <f t="shared" ref="T40" si="33">IFERROR(S40*D40/1000,"---")</f>
        <v>258.31</v>
      </c>
      <c r="U40" s="1228"/>
      <c r="V40" s="1229"/>
      <c r="W40" s="1228"/>
      <c r="X40" s="1235"/>
      <c r="Y40" s="1155"/>
      <c r="Z40" s="1156"/>
      <c r="AA40" s="1157"/>
      <c r="AB40" s="991"/>
      <c r="AC40" s="991"/>
      <c r="AD40" s="991"/>
      <c r="AE40" s="991"/>
      <c r="AF40" s="991"/>
      <c r="AG40" s="1022"/>
      <c r="AH40" s="1024"/>
    </row>
    <row r="41" spans="1:35" ht="22.5" customHeight="1" thickBot="1" x14ac:dyDescent="0.3">
      <c r="A41" s="1246"/>
      <c r="B41" s="203">
        <v>1200</v>
      </c>
      <c r="C41" s="204">
        <v>600</v>
      </c>
      <c r="D41" s="209">
        <v>140</v>
      </c>
      <c r="E41" s="254" t="s">
        <v>126</v>
      </c>
      <c r="F41" s="604" t="str">
        <f>IF(OR('ЛАЙТ Рязань'!$T$7="Завод 'ТЕХНО' г.Рязань",'ЛАЙТ Рязань'!$T$7="Завод 'ТЕХНО' г.Заинск"),'ЛАЙТ Рязань'!F41,'ЛАЙТ Юрга'!F41)</f>
        <v>С</v>
      </c>
      <c r="G41" s="205">
        <v>285.71428571428572</v>
      </c>
      <c r="H41" s="124">
        <v>44.288548752834465</v>
      </c>
      <c r="I41" s="1179">
        <f>IF(OR('ЛАЙТ Рязань'!$T$7="Завод 'ТЕХНО' г.Рязань",'ЛАЙТ Рязань'!$T$7="Завод 'ТЕХНО' г.Заинск"),'ЛАЙТ Рязань'!G41,'ЛАЙТ Юрга'!G41)</f>
        <v>264.49919999999997</v>
      </c>
      <c r="J41" s="170">
        <v>870.91199999999992</v>
      </c>
      <c r="K41" s="125">
        <v>4</v>
      </c>
      <c r="L41" s="166">
        <f t="shared" si="25"/>
        <v>2.88</v>
      </c>
      <c r="M41" s="126">
        <f t="shared" si="26"/>
        <v>0.4032</v>
      </c>
      <c r="N41" s="127">
        <v>16</v>
      </c>
      <c r="O41" s="172">
        <f t="shared" si="27"/>
        <v>6.4512</v>
      </c>
      <c r="P41" s="231">
        <f t="shared" si="10"/>
        <v>70.963200000000001</v>
      </c>
      <c r="Q41" s="126"/>
      <c r="R41" s="88">
        <f t="shared" si="2"/>
        <v>801.15840000000003</v>
      </c>
      <c r="S41" s="786">
        <f>IFERROR(IF(OR('ЛАЙТ Рязань'!$T$7="Завод 'ТЕХНО' г.Рязань",'ЛАЙТ Рязань'!$T$7="Завод 'ТЕХНО' г.Заинск"),IF('ЛАЙТ Рязань'!$T$7="Завод 'ТЕХНО' г.Рязань",'ЛАЙТ Рязань'!R41*(1-'ЛАЙТ Рязань'!$V$5-'ЛАЙТ Рязань'!V41)+IFERROR(SEARCH("комп",J41)/SEARCH("комп",J41)*'ЛАЙТ Рязань'!$R$5,'ЛАЙТ Рязань'!O$5),'ЛАЙТ Заинск'!R41*(1-'ЛАЙТ Рязань'!$V$5-'ЛАЙТ Рязань'!V41)+IFERROR(SEARCH("комп",J41)/SEARCH("комп",J41)*'ЛАЙТ Рязань'!$R$5,'ЛАЙТ Рязань'!O$5)),'ЛАЙТ Юрга'!R41*(1-'ЛАЙТ Рязань'!$V$5-'ЛАЙТ Рязань'!V41)+IFERROR(SEARCH("комп",J41)/SEARCH("комп",J41)*'ЛАЙТ Рязань'!$R$5,'ЛАЙТ Рязань'!O$5)),"нет")</f>
        <v>1987</v>
      </c>
      <c r="T41" s="101">
        <f t="shared" si="3"/>
        <v>278.18</v>
      </c>
      <c r="U41" s="1228"/>
      <c r="V41" s="1229"/>
      <c r="W41" s="1228"/>
      <c r="X41" s="1235"/>
      <c r="Y41" s="1155"/>
      <c r="Z41" s="1156"/>
      <c r="AA41" s="1157"/>
      <c r="AB41" s="991"/>
      <c r="AC41" s="991"/>
      <c r="AD41" s="991"/>
      <c r="AE41" s="991"/>
      <c r="AF41" s="991"/>
      <c r="AG41" s="1022"/>
      <c r="AH41" s="1024"/>
    </row>
    <row r="42" spans="1:35" ht="22.5" customHeight="1" thickBot="1" x14ac:dyDescent="0.3">
      <c r="A42" s="1246"/>
      <c r="B42" s="203">
        <v>1200</v>
      </c>
      <c r="C42" s="204">
        <v>600</v>
      </c>
      <c r="D42" s="209">
        <v>150</v>
      </c>
      <c r="E42" s="254" t="s">
        <v>127</v>
      </c>
      <c r="F42" s="604" t="str">
        <f>IF(OR('ЛАЙТ Рязань'!$T$7="Завод 'ТЕХНО' г.Рязань",'ЛАЙТ Рязань'!$T$7="Завод 'ТЕХНО' г.Заинск"),'ЛАЙТ Рязань'!F42,'ЛАЙТ Юрга'!F42)</f>
        <v>С</v>
      </c>
      <c r="G42" s="205">
        <v>285.71428571428572</v>
      </c>
      <c r="H42" s="124">
        <v>41.335978835978835</v>
      </c>
      <c r="I42" s="1179">
        <f>IF(OR('ЛАЙТ Рязань'!$T$7="Завод 'ТЕХНО' г.Рязань",'ЛАЙТ Рязань'!$T$7="Завод 'ТЕХНО' г.Заинск"),'ЛАЙТ Рязань'!G42,'ЛАЙТ Юрга'!G42)</f>
        <v>269.56799999999998</v>
      </c>
      <c r="J42" s="170">
        <v>870.91199999999992</v>
      </c>
      <c r="K42" s="125">
        <v>4</v>
      </c>
      <c r="L42" s="166">
        <f t="shared" si="25"/>
        <v>2.88</v>
      </c>
      <c r="M42" s="126">
        <f t="shared" si="26"/>
        <v>0.432</v>
      </c>
      <c r="N42" s="127">
        <v>16</v>
      </c>
      <c r="O42" s="172">
        <f t="shared" si="27"/>
        <v>6.9119999999999999</v>
      </c>
      <c r="P42" s="231">
        <f t="shared" si="10"/>
        <v>76.031999999999996</v>
      </c>
      <c r="Q42" s="126"/>
      <c r="R42" s="88">
        <f t="shared" si="2"/>
        <v>858.38400000000001</v>
      </c>
      <c r="S42" s="786">
        <f>IFERROR(IF(OR('ЛАЙТ Рязань'!$T$7="Завод 'ТЕХНО' г.Рязань",'ЛАЙТ Рязань'!$T$7="Завод 'ТЕХНО' г.Заинск"),IF('ЛАЙТ Рязань'!$T$7="Завод 'ТЕХНО' г.Рязань",'ЛАЙТ Рязань'!R42*(1-'ЛАЙТ Рязань'!$V$5-'ЛАЙТ Рязань'!V42)+IFERROR(SEARCH("комп",J42)/SEARCH("комп",J42)*'ЛАЙТ Рязань'!$R$5,'ЛАЙТ Рязань'!O$5),'ЛАЙТ Заинск'!R42*(1-'ЛАЙТ Рязань'!$V$5-'ЛАЙТ Рязань'!V42)+IFERROR(SEARCH("комп",J42)/SEARCH("комп",J42)*'ЛАЙТ Рязань'!$R$5,'ЛАЙТ Рязань'!O$5)),'ЛАЙТ Юрга'!R42*(1-'ЛАЙТ Рязань'!$V$5-'ЛАЙТ Рязань'!V42)+IFERROR(SEARCH("комп",J42)/SEARCH("комп",J42)*'ЛАЙТ Рязань'!$R$5,'ЛАЙТ Рязань'!O$5)),"нет")</f>
        <v>1987</v>
      </c>
      <c r="T42" s="101">
        <f t="shared" si="3"/>
        <v>298.05</v>
      </c>
      <c r="U42" s="1228"/>
      <c r="V42" s="1229"/>
      <c r="W42" s="1228"/>
      <c r="X42" s="1235"/>
      <c r="Y42" s="1155"/>
      <c r="Z42" s="1156"/>
      <c r="AA42" s="1157"/>
      <c r="AB42" s="991"/>
      <c r="AC42" s="991"/>
      <c r="AD42" s="991"/>
      <c r="AE42" s="991"/>
      <c r="AF42" s="991"/>
      <c r="AG42" s="1022"/>
      <c r="AH42" s="1024"/>
    </row>
    <row r="43" spans="1:35" ht="22.5" customHeight="1" thickBot="1" x14ac:dyDescent="0.3">
      <c r="A43" s="1246"/>
      <c r="B43" s="203">
        <v>1200</v>
      </c>
      <c r="C43" s="204">
        <v>600</v>
      </c>
      <c r="D43" s="209">
        <v>160</v>
      </c>
      <c r="E43" s="254" t="s">
        <v>128</v>
      </c>
      <c r="F43" s="604" t="str">
        <f>IF(OR('ЛАЙТ Рязань'!$T$7="Завод 'ТЕХНО' г.Рязань",'ЛАЙТ Рязань'!$T$7="Завод 'ТЕХНО' г.Заинск"),'ЛАЙТ Рязань'!F43,'ЛАЙТ Юрга'!F43)</f>
        <v>С</v>
      </c>
      <c r="G43" s="205">
        <v>285.71428571428572</v>
      </c>
      <c r="H43" s="124">
        <v>41.335978835978835</v>
      </c>
      <c r="I43" s="1179">
        <f>IF(OR('ЛАЙТ Рязань'!$T$7="Завод 'ТЕХНО' г.Рязань",'ЛАЙТ Рязань'!$T$7="Завод 'ТЕХНО' г.Заинск"),'ЛАЙТ Рязань'!G43,'ЛАЙТ Юрга'!G43)</f>
        <v>269.56800000000004</v>
      </c>
      <c r="J43" s="170">
        <v>870.91200000000003</v>
      </c>
      <c r="K43" s="125">
        <v>3</v>
      </c>
      <c r="L43" s="166">
        <f t="shared" si="25"/>
        <v>2.16</v>
      </c>
      <c r="M43" s="126">
        <f t="shared" si="26"/>
        <v>0.34560000000000002</v>
      </c>
      <c r="N43" s="127">
        <v>20</v>
      </c>
      <c r="O43" s="172">
        <f t="shared" si="27"/>
        <v>6.9120000000000008</v>
      </c>
      <c r="P43" s="231">
        <f t="shared" si="10"/>
        <v>76.032000000000011</v>
      </c>
      <c r="Q43" s="126"/>
      <c r="R43" s="88">
        <f t="shared" si="2"/>
        <v>686.70720000000006</v>
      </c>
      <c r="S43" s="786">
        <f>IFERROR(IF(OR('ЛАЙТ Рязань'!$T$7="Завод 'ТЕХНО' г.Рязань",'ЛАЙТ Рязань'!$T$7="Завод 'ТЕХНО' г.Заинск"),IF('ЛАЙТ Рязань'!$T$7="Завод 'ТЕХНО' г.Рязань",'ЛАЙТ Рязань'!R43*(1-'ЛАЙТ Рязань'!$V$5-'ЛАЙТ Рязань'!V43)+IFERROR(SEARCH("комп",J43)/SEARCH("комп",J43)*'ЛАЙТ Рязань'!$R$5,'ЛАЙТ Рязань'!O$5),'ЛАЙТ Заинск'!R43*(1-'ЛАЙТ Рязань'!$V$5-'ЛАЙТ Рязань'!V43)+IFERROR(SEARCH("комп",J43)/SEARCH("комп",J43)*'ЛАЙТ Рязань'!$R$5,'ЛАЙТ Рязань'!O$5)),'ЛАЙТ Юрга'!R43*(1-'ЛАЙТ Рязань'!$V$5-'ЛАЙТ Рязань'!V43)+IFERROR(SEARCH("комп",J43)/SEARCH("комп",J43)*'ЛАЙТ Рязань'!$R$5,'ЛАЙТ Рязань'!O$5)),"нет")</f>
        <v>1987</v>
      </c>
      <c r="T43" s="101">
        <f t="shared" si="3"/>
        <v>317.92</v>
      </c>
      <c r="U43" s="1228"/>
      <c r="V43" s="1229"/>
      <c r="W43" s="1228"/>
      <c r="X43" s="1235"/>
      <c r="Y43" s="1155"/>
      <c r="Z43" s="1156"/>
      <c r="AA43" s="1157"/>
      <c r="AB43" s="991"/>
      <c r="AC43" s="991"/>
      <c r="AD43" s="991"/>
      <c r="AE43" s="991"/>
      <c r="AF43" s="991"/>
      <c r="AG43" s="1022"/>
      <c r="AH43" s="1024"/>
    </row>
    <row r="44" spans="1:35" ht="22.5" customHeight="1" thickBot="1" x14ac:dyDescent="0.3">
      <c r="A44" s="1246"/>
      <c r="B44" s="203">
        <v>1200</v>
      </c>
      <c r="C44" s="204">
        <v>600</v>
      </c>
      <c r="D44" s="209">
        <v>170</v>
      </c>
      <c r="E44" s="254" t="s">
        <v>129</v>
      </c>
      <c r="F44" s="604" t="str">
        <f>IF(OR('ЛАЙТ Рязань'!$T$7="Завод 'ТЕХНО' г.Рязань",'ЛАЙТ Рязань'!$T$7="Завод 'ТЕХНО' г.Заинск"),'ЛАЙТ Рязань'!F44,'ЛАЙТ Юрга'!F44)</f>
        <v>С</v>
      </c>
      <c r="G44" s="205">
        <v>285.71428571428572</v>
      </c>
      <c r="H44" s="124">
        <v>48.63056333644569</v>
      </c>
      <c r="I44" s="1179">
        <f>IF(OR('ЛАЙТ Рязань'!$T$7="Завод 'ТЕХНО' г.Рязань",'ЛАЙТ Рязань'!$T$7="Завод 'ТЕХНО' г.Заинск"),'ЛАЙТ Рязань'!G44,'ЛАЙТ Юрга'!G44)</f>
        <v>264.38400000000001</v>
      </c>
      <c r="J44" s="170">
        <v>740.27520000000004</v>
      </c>
      <c r="K44" s="125">
        <v>3</v>
      </c>
      <c r="L44" s="166">
        <f t="shared" si="25"/>
        <v>2.16</v>
      </c>
      <c r="M44" s="126">
        <f t="shared" si="26"/>
        <v>0.36720000000000003</v>
      </c>
      <c r="N44" s="127">
        <v>16</v>
      </c>
      <c r="O44" s="172">
        <f t="shared" si="27"/>
        <v>5.8752000000000004</v>
      </c>
      <c r="P44" s="231">
        <f t="shared" si="10"/>
        <v>64.627200000000002</v>
      </c>
      <c r="Q44" s="126"/>
      <c r="R44" s="88">
        <f t="shared" si="2"/>
        <v>729.6264000000001</v>
      </c>
      <c r="S44" s="786">
        <f>IFERROR(IF(OR('ЛАЙТ Рязань'!$T$7="Завод 'ТЕХНО' г.Рязань",'ЛАЙТ Рязань'!$T$7="Завод 'ТЕХНО' г.Заинск"),IF('ЛАЙТ Рязань'!$T$7="Завод 'ТЕХНО' г.Рязань",'ЛАЙТ Рязань'!R44*(1-'ЛАЙТ Рязань'!$V$5-'ЛАЙТ Рязань'!V44)+IFERROR(SEARCH("комп",J44)/SEARCH("комп",J44)*'ЛАЙТ Рязань'!$R$5,'ЛАЙТ Рязань'!O$5),'ЛАЙТ Заинск'!R44*(1-'ЛАЙТ Рязань'!$V$5-'ЛАЙТ Рязань'!V44)+IFERROR(SEARCH("комп",J44)/SEARCH("комп",J44)*'ЛАЙТ Рязань'!$R$5,'ЛАЙТ Рязань'!O$5)),'ЛАЙТ Юрга'!R44*(1-'ЛАЙТ Рязань'!$V$5-'ЛАЙТ Рязань'!V44)+IFERROR(SEARCH("комп",J44)/SEARCH("комп",J44)*'ЛАЙТ Рязань'!$R$5,'ЛАЙТ Рязань'!O$5)),"нет")</f>
        <v>1987</v>
      </c>
      <c r="T44" s="101">
        <f t="shared" si="3"/>
        <v>337.79</v>
      </c>
      <c r="U44" s="1228"/>
      <c r="V44" s="1229"/>
      <c r="W44" s="1228"/>
      <c r="X44" s="1235"/>
      <c r="Y44" s="1155"/>
      <c r="Z44" s="1156"/>
      <c r="AA44" s="1157"/>
      <c r="AB44" s="991"/>
      <c r="AC44" s="991"/>
      <c r="AD44" s="991"/>
      <c r="AE44" s="991"/>
      <c r="AF44" s="991"/>
      <c r="AG44" s="1022"/>
      <c r="AH44" s="1024"/>
    </row>
    <row r="45" spans="1:35" ht="22.5" customHeight="1" thickBot="1" x14ac:dyDescent="0.3">
      <c r="A45" s="1246"/>
      <c r="B45" s="203">
        <v>1200</v>
      </c>
      <c r="C45" s="204">
        <v>600</v>
      </c>
      <c r="D45" s="209">
        <v>180</v>
      </c>
      <c r="E45" s="254" t="s">
        <v>130</v>
      </c>
      <c r="F45" s="604" t="str">
        <f>IF(OR('ЛАЙТ Рязань'!$T$7="Завод 'ТЕХНО' г.Рязань",'ЛАЙТ Рязань'!$T$7="Завод 'ТЕХНО' г.Заинск"),'ЛАЙТ Рязань'!F45,'ЛАЙТ Юрга'!F45)</f>
        <v>С</v>
      </c>
      <c r="G45" s="205">
        <v>285.71428571428572</v>
      </c>
      <c r="H45" s="124">
        <v>45.928865373309819</v>
      </c>
      <c r="I45" s="1179">
        <f>IF(OR('ЛАЙТ Рязань'!$T$7="Завод 'ТЕХНО' г.Рязань",'ЛАЙТ Рязань'!$T$7="Завод 'ТЕХНО' г.Заинск"),'ЛАЙТ Рязань'!G45,'ЛАЙТ Юрга'!G45)</f>
        <v>267.49440000000004</v>
      </c>
      <c r="J45" s="170">
        <v>783.82079999999996</v>
      </c>
      <c r="K45" s="125">
        <v>3</v>
      </c>
      <c r="L45" s="166">
        <f t="shared" si="25"/>
        <v>2.16</v>
      </c>
      <c r="M45" s="126">
        <f t="shared" si="26"/>
        <v>0.38880000000000003</v>
      </c>
      <c r="N45" s="127">
        <v>16</v>
      </c>
      <c r="O45" s="172">
        <f t="shared" si="27"/>
        <v>6.2208000000000006</v>
      </c>
      <c r="P45" s="231">
        <f t="shared" si="10"/>
        <v>68.42880000000001</v>
      </c>
      <c r="Q45" s="126"/>
      <c r="R45" s="88">
        <f t="shared" si="2"/>
        <v>772.54560000000004</v>
      </c>
      <c r="S45" s="786">
        <f>IFERROR(IF(OR('ЛАЙТ Рязань'!$T$7="Завод 'ТЕХНО' г.Рязань",'ЛАЙТ Рязань'!$T$7="Завод 'ТЕХНО' г.Заинск"),IF('ЛАЙТ Рязань'!$T$7="Завод 'ТЕХНО' г.Рязань",'ЛАЙТ Рязань'!R45*(1-'ЛАЙТ Рязань'!$V$5-'ЛАЙТ Рязань'!V45)+IFERROR(SEARCH("комп",J45)/SEARCH("комп",J45)*'ЛАЙТ Рязань'!$R$5,'ЛАЙТ Рязань'!O$5),'ЛАЙТ Заинск'!R45*(1-'ЛАЙТ Рязань'!$V$5-'ЛАЙТ Рязань'!V45)+IFERROR(SEARCH("комп",J45)/SEARCH("комп",J45)*'ЛАЙТ Рязань'!$R$5,'ЛАЙТ Рязань'!O$5)),'ЛАЙТ Юрга'!R45*(1-'ЛАЙТ Рязань'!$V$5-'ЛАЙТ Рязань'!V45)+IFERROR(SEARCH("комп",J45)/SEARCH("комп",J45)*'ЛАЙТ Рязань'!$R$5,'ЛАЙТ Рязань'!O$5)),"нет")</f>
        <v>1987</v>
      </c>
      <c r="T45" s="101">
        <f t="shared" si="3"/>
        <v>357.66</v>
      </c>
      <c r="U45" s="1228"/>
      <c r="V45" s="1229"/>
      <c r="W45" s="1228"/>
      <c r="X45" s="1235"/>
      <c r="Y45" s="1155"/>
      <c r="Z45" s="1156"/>
      <c r="AA45" s="1157"/>
      <c r="AB45" s="991"/>
      <c r="AC45" s="991"/>
      <c r="AD45" s="991"/>
      <c r="AE45" s="991"/>
      <c r="AF45" s="991"/>
      <c r="AG45" s="1022"/>
      <c r="AH45" s="1024"/>
    </row>
    <row r="46" spans="1:35" ht="22.5" customHeight="1" thickBot="1" x14ac:dyDescent="0.3">
      <c r="A46" s="1246"/>
      <c r="B46" s="203">
        <v>1200</v>
      </c>
      <c r="C46" s="204">
        <v>600</v>
      </c>
      <c r="D46" s="209">
        <v>190</v>
      </c>
      <c r="E46" s="254" t="s">
        <v>131</v>
      </c>
      <c r="F46" s="604" t="str">
        <f>IF(OR('ЛАЙТ Рязань'!$T$7="Завод 'ТЕХНО' г.Рязань",'ЛАЙТ Рязань'!$T$7="Завод 'ТЕХНО' г.Заинск"),'ЛАЙТ Рязань'!F46,'ЛАЙТ Юрга'!F46)</f>
        <v>С</v>
      </c>
      <c r="G46" s="205">
        <v>285.71428571428572</v>
      </c>
      <c r="H46" s="124">
        <v>43.511556669451409</v>
      </c>
      <c r="I46" s="1179">
        <f>IF(OR('ЛАЙТ Рязань'!$T$7="Завод 'ТЕХНО' г.Рязань",'ЛАЙТ Рязань'!$T$7="Завод 'ТЕХНО' г.Заинск"),'ЛАЙТ Рязань'!G46,'ЛАЙТ Юрга'!G46)</f>
        <v>269.22240000000005</v>
      </c>
      <c r="J46" s="170">
        <v>827.36639999999989</v>
      </c>
      <c r="K46" s="125">
        <v>3</v>
      </c>
      <c r="L46" s="166">
        <f t="shared" si="25"/>
        <v>2.16</v>
      </c>
      <c r="M46" s="126">
        <f t="shared" si="26"/>
        <v>0.41040000000000004</v>
      </c>
      <c r="N46" s="127">
        <v>16</v>
      </c>
      <c r="O46" s="172">
        <f t="shared" si="27"/>
        <v>6.5664000000000007</v>
      </c>
      <c r="P46" s="231">
        <f t="shared" si="10"/>
        <v>72.230400000000003</v>
      </c>
      <c r="Q46" s="126"/>
      <c r="R46" s="88">
        <f t="shared" si="2"/>
        <v>815.46480000000008</v>
      </c>
      <c r="S46" s="786">
        <f>IFERROR(IF(OR('ЛАЙТ Рязань'!$T$7="Завод 'ТЕХНО' г.Рязань",'ЛАЙТ Рязань'!$T$7="Завод 'ТЕХНО' г.Заинск"),IF('ЛАЙТ Рязань'!$T$7="Завод 'ТЕХНО' г.Рязань",'ЛАЙТ Рязань'!R46*(1-'ЛАЙТ Рязань'!$V$5-'ЛАЙТ Рязань'!V46)+IFERROR(SEARCH("комп",J46)/SEARCH("комп",J46)*'ЛАЙТ Рязань'!$R$5,'ЛАЙТ Рязань'!O$5),'ЛАЙТ Заинск'!R46*(1-'ЛАЙТ Рязань'!$V$5-'ЛАЙТ Рязань'!V46)+IFERROR(SEARCH("комп",J46)/SEARCH("комп",J46)*'ЛАЙТ Рязань'!$R$5,'ЛАЙТ Рязань'!O$5)),'ЛАЙТ Юрга'!R46*(1-'ЛАЙТ Рязань'!$V$5-'ЛАЙТ Рязань'!V46)+IFERROR(SEARCH("комп",J46)/SEARCH("комп",J46)*'ЛАЙТ Рязань'!$R$5,'ЛАЙТ Рязань'!O$5)),"нет")</f>
        <v>1987</v>
      </c>
      <c r="T46" s="101">
        <f t="shared" si="3"/>
        <v>377.53</v>
      </c>
      <c r="U46" s="1228"/>
      <c r="V46" s="1229"/>
      <c r="W46" s="1228"/>
      <c r="X46" s="1235"/>
      <c r="Y46" s="1155"/>
      <c r="Z46" s="1156"/>
      <c r="AA46" s="1157"/>
      <c r="AB46" s="991"/>
      <c r="AC46" s="991"/>
      <c r="AD46" s="991"/>
      <c r="AE46" s="991"/>
      <c r="AF46" s="991"/>
      <c r="AG46" s="1022"/>
      <c r="AH46" s="1024"/>
    </row>
    <row r="47" spans="1:35" ht="22.5" customHeight="1" thickBot="1" x14ac:dyDescent="0.3">
      <c r="A47" s="1247"/>
      <c r="B47" s="240">
        <v>1200</v>
      </c>
      <c r="C47" s="241">
        <v>600</v>
      </c>
      <c r="D47" s="242">
        <v>200</v>
      </c>
      <c r="E47" s="257" t="s">
        <v>132</v>
      </c>
      <c r="F47" s="604" t="str">
        <f>IF(OR('ЛАЙТ Рязань'!$T$7="Завод 'ТЕХНО' г.Рязань",'ЛАЙТ Рязань'!$T$7="Завод 'ТЕХНО' г.Заинск"),'ЛАЙТ Рязань'!F47,'ЛАЙТ Юрга'!F47)</f>
        <v>С</v>
      </c>
      <c r="G47" s="239">
        <v>285.71428571428572</v>
      </c>
      <c r="H47" s="258">
        <v>41.335978835978835</v>
      </c>
      <c r="I47" s="1180">
        <f>IF(OR('ЛАЙТ Рязань'!$T$7="Завод 'ТЕХНО' г.Рязань",'ЛАЙТ Рязань'!$T$7="Завод 'ТЕХНО' г.Заинск"),'ЛАЙТ Рязань'!G47,'ЛАЙТ Юрга'!G47)</f>
        <v>269.56799999999998</v>
      </c>
      <c r="J47" s="262">
        <v>870.91199999999992</v>
      </c>
      <c r="K47" s="128">
        <v>3</v>
      </c>
      <c r="L47" s="167">
        <f t="shared" ref="L47:L66" si="34">B47*C47*K47/1000000</f>
        <v>2.16</v>
      </c>
      <c r="M47" s="129">
        <f t="shared" ref="M47:M66" si="35">L47*D47/1000</f>
        <v>0.432</v>
      </c>
      <c r="N47" s="130">
        <v>16</v>
      </c>
      <c r="O47" s="174">
        <f t="shared" ref="O47:O66" si="36">M47*N47</f>
        <v>6.9119999999999999</v>
      </c>
      <c r="P47" s="260">
        <f t="shared" si="10"/>
        <v>76.031999999999996</v>
      </c>
      <c r="Q47" s="129"/>
      <c r="R47" s="479">
        <f t="shared" si="2"/>
        <v>858.38400000000001</v>
      </c>
      <c r="S47" s="787">
        <f>IFERROR(IF(OR('ЛАЙТ Рязань'!$T$7="Завод 'ТЕХНО' г.Рязань",'ЛАЙТ Рязань'!$T$7="Завод 'ТЕХНО' г.Заинск"),IF('ЛАЙТ Рязань'!$T$7="Завод 'ТЕХНО' г.Рязань",'ЛАЙТ Рязань'!R47*(1-'ЛАЙТ Рязань'!$V$5-'ЛАЙТ Рязань'!V47)+IFERROR(SEARCH("комп",J47)/SEARCH("комп",J47)*'ЛАЙТ Рязань'!$R$5,'ЛАЙТ Рязань'!O$5),'ЛАЙТ Заинск'!R47*(1-'ЛАЙТ Рязань'!$V$5-'ЛАЙТ Рязань'!V47)+IFERROR(SEARCH("комп",J47)/SEARCH("комп",J47)*'ЛАЙТ Рязань'!$R$5,'ЛАЙТ Рязань'!O$5)),'ЛАЙТ Юрга'!R47*(1-'ЛАЙТ Рязань'!$V$5-'ЛАЙТ Рязань'!V47)+IFERROR(SEARCH("комп",J47)/SEARCH("комп",J47)*'ЛАЙТ Рязань'!$R$5,'ЛАЙТ Рязань'!O$5)),"нет")</f>
        <v>1987</v>
      </c>
      <c r="T47" s="102">
        <f t="shared" si="3"/>
        <v>397.4</v>
      </c>
      <c r="U47" s="1228"/>
      <c r="V47" s="1229"/>
      <c r="W47" s="1228"/>
      <c r="X47" s="1235"/>
      <c r="Y47" s="1155"/>
      <c r="Z47" s="1156"/>
      <c r="AA47" s="1157"/>
      <c r="AB47" s="991"/>
      <c r="AC47" s="991"/>
      <c r="AD47" s="991"/>
      <c r="AE47" s="991"/>
      <c r="AF47" s="991"/>
      <c r="AG47" s="1022"/>
      <c r="AH47" s="1024"/>
    </row>
    <row r="48" spans="1:35" ht="22.5" customHeight="1" thickBot="1" x14ac:dyDescent="0.3">
      <c r="A48" s="35" t="s">
        <v>9</v>
      </c>
      <c r="B48" s="249">
        <v>1200</v>
      </c>
      <c r="C48" s="287">
        <v>600</v>
      </c>
      <c r="D48" s="288">
        <v>50</v>
      </c>
      <c r="E48" s="253" t="s">
        <v>104</v>
      </c>
      <c r="F48" s="604" t="str">
        <f>IF(OR('ЛАЙТ Рязань'!$T$7="Завод 'ТЕХНО' г.Рязань",'ЛАЙТ Рязань'!$T$7="Завод 'ТЕХНО' г.Заинск"),'ЛАЙТ Рязань'!F48,'ЛАЙТ Юрга'!F48)</f>
        <v>А</v>
      </c>
      <c r="G48" s="256"/>
      <c r="H48" s="259">
        <v>0</v>
      </c>
      <c r="I48" s="1178" t="str">
        <f>IF(OR('ЛАЙТ Рязань'!$T$7="Завод 'ТЕХНО' г.Рязань",'ЛАЙТ Рязань'!$T$7="Завод 'ТЕХНО' г.Заинск"),'ЛАЙТ Рязань'!G48,'ЛАЙТ Юрга'!G48)</f>
        <v xml:space="preserve"> </v>
      </c>
      <c r="J48" s="224" t="s">
        <v>83</v>
      </c>
      <c r="K48" s="131">
        <v>12</v>
      </c>
      <c r="L48" s="168">
        <f t="shared" si="34"/>
        <v>8.64</v>
      </c>
      <c r="M48" s="132">
        <f t="shared" si="35"/>
        <v>0.432</v>
      </c>
      <c r="N48" s="133">
        <v>16</v>
      </c>
      <c r="O48" s="172">
        <f t="shared" si="36"/>
        <v>6.9119999999999999</v>
      </c>
      <c r="P48" s="223">
        <f t="shared" si="10"/>
        <v>76.031999999999996</v>
      </c>
      <c r="Q48" s="132"/>
      <c r="R48" s="88">
        <f t="shared" si="2"/>
        <v>872.64</v>
      </c>
      <c r="S48" s="786">
        <f>IFERROR(IF(OR('ЛАЙТ Рязань'!$T$7="Завод 'ТЕХНО' г.Рязань",'ЛАЙТ Рязань'!$T$7="Завод 'ТЕХНО' г.Заинск"),IF('ЛАЙТ Рязань'!$T$7="Завод 'ТЕХНО' г.Рязань",'ЛАЙТ Рязань'!R48*(1-'ЛАЙТ Рязань'!$V$5-'ЛАЙТ Рязань'!V48)+IFERROR(SEARCH("комп",J48)/SEARCH("комп",J48)*'ЛАЙТ Рязань'!$R$5,'ЛАЙТ Рязань'!S$5),'ЛАЙТ Заинск'!R48*(1-'ЛАЙТ Рязань'!$V$5-'ЛАЙТ Рязань'!V48)+IFERROR(SEARCH("комп",J48)/SEARCH("комп",J48)*'ЛАЙТ Рязань'!$R$5,'ЛАЙТ Рязань'!S$5)),'ЛАЙТ Юрга'!R48*(1-'ЛАЙТ Рязань'!$V$5-'ЛАЙТ Рязань'!V48)+IFERROR(SEARCH("комп",J48)/SEARCH("комп",J48)*'ЛАЙТ Рязань'!$R$5,'ЛАЙТ Рязань'!S$5)),"нет")</f>
        <v>2020</v>
      </c>
      <c r="T48" s="101">
        <f t="shared" si="3"/>
        <v>101</v>
      </c>
      <c r="U48" s="1228"/>
      <c r="V48" s="1229"/>
      <c r="W48" s="1228"/>
      <c r="X48" s="1235"/>
      <c r="Y48" s="1155"/>
      <c r="Z48" s="1156"/>
      <c r="AA48" s="1157"/>
      <c r="AB48" s="991"/>
      <c r="AC48" s="991"/>
      <c r="AD48" s="991"/>
      <c r="AE48" s="991"/>
      <c r="AF48" s="991"/>
      <c r="AG48" s="1022"/>
      <c r="AH48" s="1024"/>
      <c r="AI48" s="953"/>
    </row>
    <row r="49" spans="1:35" ht="22.5" customHeight="1" thickBot="1" x14ac:dyDescent="0.3">
      <c r="A49" s="76"/>
      <c r="B49" s="203">
        <v>1200</v>
      </c>
      <c r="C49" s="204">
        <v>600</v>
      </c>
      <c r="D49" s="209">
        <v>50</v>
      </c>
      <c r="E49" s="663" t="s">
        <v>460</v>
      </c>
      <c r="F49" s="604" t="str">
        <f>IF(OR('ЛАЙТ Рязань'!$T$7="Завод 'ТЕХНО' г.Рязань",'ЛАЙТ Рязань'!$T$7="Завод 'ТЕХНО' г.Заинск"),'ЛАЙТ Рязань'!F49,'ЛАЙТ Юрга'!F49)</f>
        <v>А</v>
      </c>
      <c r="G49" s="205"/>
      <c r="H49" s="124">
        <v>0</v>
      </c>
      <c r="I49" s="1179" t="str">
        <f>IF(OR('ЛАЙТ Рязань'!$T$7="Завод 'ТЕХНО' г.Рязань",'ЛАЙТ Рязань'!$T$7="Завод 'ТЕХНО' г.Заинск"),'ЛАЙТ Рязань'!G49,'ЛАЙТ Юрга'!G49)</f>
        <v xml:space="preserve"> </v>
      </c>
      <c r="J49" s="170" t="str">
        <f>J48</f>
        <v>термоус.</v>
      </c>
      <c r="K49" s="125">
        <v>8</v>
      </c>
      <c r="L49" s="166">
        <f t="shared" si="34"/>
        <v>5.76</v>
      </c>
      <c r="M49" s="126">
        <f t="shared" si="35"/>
        <v>0.28799999999999998</v>
      </c>
      <c r="N49" s="127">
        <v>24</v>
      </c>
      <c r="O49" s="172">
        <f t="shared" si="36"/>
        <v>6.911999999999999</v>
      </c>
      <c r="P49" s="231">
        <f t="shared" si="10"/>
        <v>76.031999999999982</v>
      </c>
      <c r="Q49" s="126"/>
      <c r="R49" s="88">
        <f t="shared" si="2"/>
        <v>580.89599999999996</v>
      </c>
      <c r="S49" s="792">
        <f>IFERROR(IF(OR('ЛАЙТ Рязань'!$T$7="Завод 'ТЕХНО' г.Рязань",'ЛАЙТ Рязань'!$T$7="Завод 'ТЕХНО' г.Заинск"),IF('ЛАЙТ Рязань'!$T$7="Завод 'ТЕХНО' г.Рязань",'ЛАЙТ Рязань'!R49*(1-'ЛАЙТ Рязань'!$V$5-'ЛАЙТ Рязань'!V49)+IFERROR(SEARCH("комп",J49)/SEARCH("комп",J49)*'ЛАЙТ Рязань'!$R$5,'ЛАЙТ Рязань'!O$5),'ЛАЙТ Заинск'!R49*(1-'ЛАЙТ Рязань'!$V$5-'ЛАЙТ Рязань'!V49)+IFERROR(SEARCH("комп",J49)/SEARCH("комп",J49)*'ЛАЙТ Рязань'!$R$5,'ЛАЙТ Рязань'!O$5)),'ЛАЙТ Юрга'!R49*(1-'ЛАЙТ Рязань'!$V$5-'ЛАЙТ Рязань'!V49)+IFERROR(SEARCH("комп",J49)/SEARCH("комп",J49)*'ЛАЙТ Рязань'!$R$5,'ЛАЙТ Рязань'!S$5)),"нет")</f>
        <v>2017</v>
      </c>
      <c r="T49" s="101">
        <f t="shared" si="3"/>
        <v>100.85</v>
      </c>
      <c r="U49" s="1228"/>
      <c r="V49" s="1229"/>
      <c r="W49" s="1228"/>
      <c r="X49" s="1235"/>
      <c r="Y49" s="1155"/>
      <c r="Z49" s="1156"/>
      <c r="AA49" s="1157"/>
      <c r="AB49" s="991"/>
      <c r="AC49" s="991"/>
      <c r="AD49" s="991"/>
      <c r="AE49" s="991"/>
      <c r="AF49" s="991"/>
      <c r="AG49" s="1022"/>
      <c r="AH49" s="1024"/>
    </row>
    <row r="50" spans="1:35" ht="22.5" customHeight="1" thickBot="1" x14ac:dyDescent="0.3">
      <c r="A50" s="877"/>
      <c r="B50" s="203">
        <v>1200</v>
      </c>
      <c r="C50" s="204">
        <v>600</v>
      </c>
      <c r="D50" s="209">
        <v>50</v>
      </c>
      <c r="E50" s="663" t="s">
        <v>610</v>
      </c>
      <c r="F50" s="604" t="str">
        <f>IF(OR('ЛАЙТ Рязань'!$T$7="Завод 'ТЕХНО' г.Рязань",'ЛАЙТ Рязань'!$T$7="Завод 'ТЕХНО' г.Заинск"),'ЛАЙТ Рязань'!F50,'ЛАЙТ Юрга'!F50)</f>
        <v>Б</v>
      </c>
      <c r="G50" s="205">
        <v>222.22222222222223</v>
      </c>
      <c r="H50" s="124">
        <v>32.150205761316876</v>
      </c>
      <c r="I50" s="1179" t="str">
        <f>IF(OR('ЛАЙТ Рязань'!$T$7="Завод 'ТЕХНО' г.Рязань",'ЛАЙТ Рязань'!$T$7="Завод 'ТЕХНО' г.Заинск"),'ЛАЙТ Рязань'!G50,'ЛАЙТ Юрга'!G50)</f>
        <v xml:space="preserve"> </v>
      </c>
      <c r="J50" s="170">
        <v>746.49599999999998</v>
      </c>
      <c r="K50" s="125">
        <v>6</v>
      </c>
      <c r="L50" s="166">
        <f t="shared" ref="L50" si="37">B50*C50*K50/1000000</f>
        <v>4.32</v>
      </c>
      <c r="M50" s="126">
        <f t="shared" ref="M50" si="38">L50*D50/1000</f>
        <v>0.216</v>
      </c>
      <c r="N50" s="127">
        <v>32</v>
      </c>
      <c r="O50" s="172">
        <f t="shared" ref="O50" si="39">M50*N50</f>
        <v>6.9119999999999999</v>
      </c>
      <c r="P50" s="231">
        <f t="shared" ref="P50" si="40">O50*11</f>
        <v>76.031999999999996</v>
      </c>
      <c r="Q50" s="126"/>
      <c r="R50" s="88" t="str">
        <f t="shared" si="2"/>
        <v>---</v>
      </c>
      <c r="S50" s="224" t="str">
        <f>IFERROR(IF(OR('ЛАЙТ Рязань'!$T$7="Завод 'ТЕХНО' г.Рязань",'ЛАЙТ Рязань'!$T$7="Завод 'ТЕХНО' г.Заинск"),IF('ЛАЙТ Рязань'!$T$7="Завод 'ТЕХНО' г.Рязань",'ЛАЙТ Рязань'!R50*(1-'ЛАЙТ Рязань'!$V$5-'ЛАЙТ Рязань'!V50)+IFERROR(SEARCH("комп",J50)/SEARCH("комп",J50)*'ЛАЙТ Рязань'!$R$5,'ЛАЙТ Рязань'!S$5),'ЛАЙТ Заинск'!R50*(1-'ЛАЙТ Рязань'!$V$5-'ЛАЙТ Рязань'!V50)+IFERROR(SEARCH("комп",J50)/SEARCH("комп",J50)*'ЛАЙТ Рязань'!$R$5,'ЛАЙТ Рязань'!S$5)),'ЛАЙТ Юрга'!R50*(1-'ЛАЙТ Рязань'!$V$5-'ЛАЙТ Рязань'!V50)+IFERROR(SEARCH("комп",J50)/SEARCH("комп",J50)*'ЛАЙТ Рязань'!$R$5,'ЛАЙТ Рязань'!S$5)),"нет")</f>
        <v>нет</v>
      </c>
      <c r="T50" s="101" t="str">
        <f t="shared" si="3"/>
        <v>---</v>
      </c>
      <c r="U50" s="1228"/>
      <c r="V50" s="1229"/>
      <c r="W50" s="1228"/>
      <c r="X50" s="1235"/>
      <c r="Y50" s="1155"/>
      <c r="Z50" s="1156"/>
      <c r="AA50" s="1157"/>
      <c r="AB50" s="991"/>
      <c r="AC50" s="991"/>
      <c r="AD50" s="991"/>
      <c r="AE50" s="991"/>
      <c r="AF50" s="991"/>
      <c r="AG50" s="1022"/>
      <c r="AH50" s="1024"/>
    </row>
    <row r="51" spans="1:35" ht="22.5" customHeight="1" thickBot="1" x14ac:dyDescent="0.3">
      <c r="A51" s="708" t="s">
        <v>26</v>
      </c>
      <c r="B51" s="203">
        <v>1200</v>
      </c>
      <c r="C51" s="204">
        <v>600</v>
      </c>
      <c r="D51" s="209">
        <v>60</v>
      </c>
      <c r="E51" s="254" t="s">
        <v>105</v>
      </c>
      <c r="F51" s="604" t="str">
        <f>IF(OR('ЛАЙТ Рязань'!$T$7="Завод 'ТЕХНО' г.Рязань",'ЛАЙТ Рязань'!$T$7="Завод 'ТЕХНО' г.Заинск"),'ЛАЙТ Рязань'!F51,'ЛАЙТ Юрга'!F51)</f>
        <v>Б</v>
      </c>
      <c r="G51" s="205">
        <v>222.22222222222223</v>
      </c>
      <c r="H51" s="124">
        <v>32.150205761316876</v>
      </c>
      <c r="I51" s="1179" t="str">
        <f>IF(OR('ЛАЙТ Рязань'!$T$7="Завод 'ТЕХНО' г.Рязань",'ЛАЙТ Рязань'!$T$7="Завод 'ТЕХНО' г.Заинск"),'ЛАЙТ Рязань'!G51,'ЛАЙТ Юрга'!G51)</f>
        <v xml:space="preserve"> </v>
      </c>
      <c r="J51" s="170">
        <v>746.49599999999998</v>
      </c>
      <c r="K51" s="125">
        <v>10</v>
      </c>
      <c r="L51" s="166">
        <f t="shared" si="34"/>
        <v>7.2</v>
      </c>
      <c r="M51" s="126">
        <f t="shared" si="35"/>
        <v>0.432</v>
      </c>
      <c r="N51" s="127">
        <v>16</v>
      </c>
      <c r="O51" s="172">
        <f t="shared" si="36"/>
        <v>6.9119999999999999</v>
      </c>
      <c r="P51" s="231">
        <f t="shared" si="10"/>
        <v>76.031999999999996</v>
      </c>
      <c r="Q51" s="126"/>
      <c r="R51" s="88">
        <f t="shared" si="2"/>
        <v>872.64</v>
      </c>
      <c r="S51" s="224">
        <f>IFERROR(IF(OR('ЛАЙТ Рязань'!$T$7="Завод 'ТЕХНО' г.Рязань",'ЛАЙТ Рязань'!$T$7="Завод 'ТЕХНО' г.Заинск"),IF('ЛАЙТ Рязань'!$T$7="Завод 'ТЕХНО' г.Рязань",'ЛАЙТ Рязань'!R51*(1-'ЛАЙТ Рязань'!$V$5-'ЛАЙТ Рязань'!V51)+IFERROR(SEARCH("комп",J51)/SEARCH("комп",J51)*'ЛАЙТ Рязань'!$R$5,'ЛАЙТ Рязань'!S$5),'ЛАЙТ Заинск'!R51*(1-'ЛАЙТ Рязань'!$V$5-'ЛАЙТ Рязань'!V51)+IFERROR(SEARCH("комп",J51)/SEARCH("комп",J51)*'ЛАЙТ Рязань'!$R$5,'ЛАЙТ Рязань'!S$5)),'ЛАЙТ Юрга'!R51*(1-'ЛАЙТ Рязань'!$V$5-'ЛАЙТ Рязань'!V51)+IFERROR(SEARCH("комп",J51)/SEARCH("комп",J51)*'ЛАЙТ Рязань'!$R$5,'ЛАЙТ Рязань'!S$5)),"нет")</f>
        <v>2020</v>
      </c>
      <c r="T51" s="101">
        <f t="shared" si="3"/>
        <v>121.2</v>
      </c>
      <c r="U51" s="1228"/>
      <c r="V51" s="1229"/>
      <c r="W51" s="1228"/>
      <c r="X51" s="1235"/>
      <c r="Y51" s="1155"/>
      <c r="Z51" s="1156"/>
      <c r="AA51" s="1157"/>
      <c r="AB51" s="991"/>
      <c r="AC51" s="991"/>
      <c r="AD51" s="991"/>
      <c r="AE51" s="991"/>
      <c r="AF51" s="991"/>
      <c r="AG51" s="1022"/>
      <c r="AH51" s="1024"/>
    </row>
    <row r="52" spans="1:35" ht="22.5" customHeight="1" thickBot="1" x14ac:dyDescent="0.3">
      <c r="A52" s="708"/>
      <c r="B52" s="203">
        <v>1200</v>
      </c>
      <c r="C52" s="204">
        <v>600</v>
      </c>
      <c r="D52" s="209">
        <v>70</v>
      </c>
      <c r="E52" s="254" t="s">
        <v>106</v>
      </c>
      <c r="F52" s="604" t="str">
        <f>IF(OR('ЛАЙТ Рязань'!$T$7="Завод 'ТЕХНО' г.Рязань",'ЛАЙТ Рязань'!$T$7="Завод 'ТЕХНО' г.Заинск"),'ЛАЙТ Рязань'!F52,'ЛАЙТ Юрга'!F52)</f>
        <v>С</v>
      </c>
      <c r="G52" s="205">
        <v>222.22222222222223</v>
      </c>
      <c r="H52" s="124">
        <v>34.446649029982368</v>
      </c>
      <c r="I52" s="1179">
        <f>IF(OR('ЛАЙТ Рязань'!$T$7="Завод 'ТЕХНО' г.Рязань",'ЛАЙТ Рязань'!$T$7="Завод 'ТЕХНО' г.Заинск"),'ЛАЙТ Рязань'!G52,'ЛАЙТ Юрга'!G52)</f>
        <v>225.792</v>
      </c>
      <c r="J52" s="170">
        <v>716.08320000000003</v>
      </c>
      <c r="K52" s="125">
        <v>8</v>
      </c>
      <c r="L52" s="166">
        <f t="shared" si="34"/>
        <v>5.76</v>
      </c>
      <c r="M52" s="126">
        <f t="shared" si="35"/>
        <v>0.4032</v>
      </c>
      <c r="N52" s="127">
        <v>16</v>
      </c>
      <c r="O52" s="172">
        <f t="shared" si="36"/>
        <v>6.4512</v>
      </c>
      <c r="P52" s="231">
        <f t="shared" si="10"/>
        <v>70.963200000000001</v>
      </c>
      <c r="Q52" s="126"/>
      <c r="R52" s="88">
        <f t="shared" si="2"/>
        <v>814.46400000000006</v>
      </c>
      <c r="S52" s="224">
        <f>IFERROR(IF(OR('ЛАЙТ Рязань'!$T$7="Завод 'ТЕХНО' г.Рязань",'ЛАЙТ Рязань'!$T$7="Завод 'ТЕХНО' г.Заинск"),IF('ЛАЙТ Рязань'!$T$7="Завод 'ТЕХНО' г.Рязань",'ЛАЙТ Рязань'!R52*(1-'ЛАЙТ Рязань'!$V$5-'ЛАЙТ Рязань'!V52)+IFERROR(SEARCH("комп",J52)/SEARCH("комп",J52)*'ЛАЙТ Рязань'!$R$5,'ЛАЙТ Рязань'!S$5),'ЛАЙТ Заинск'!R52*(1-'ЛАЙТ Рязань'!$V$5-'ЛАЙТ Рязань'!V52)+IFERROR(SEARCH("комп",J52)/SEARCH("комп",J52)*'ЛАЙТ Рязань'!$R$5,'ЛАЙТ Рязань'!S$5)),'ЛАЙТ Юрга'!R52*(1-'ЛАЙТ Рязань'!$V$5-'ЛАЙТ Рязань'!V52)+IFERROR(SEARCH("комп",J52)/SEARCH("комп",J52)*'ЛАЙТ Рязань'!$R$5,'ЛАЙТ Рязань'!S$5)),"нет")</f>
        <v>2020</v>
      </c>
      <c r="T52" s="101">
        <f t="shared" si="3"/>
        <v>141.4</v>
      </c>
      <c r="U52" s="1228"/>
      <c r="V52" s="1229"/>
      <c r="W52" s="1228"/>
      <c r="X52" s="1235"/>
      <c r="Y52" s="1155"/>
      <c r="Z52" s="1156"/>
      <c r="AA52" s="1157"/>
      <c r="AB52" s="991"/>
      <c r="AC52" s="991"/>
      <c r="AD52" s="991"/>
      <c r="AE52" s="991"/>
      <c r="AF52" s="991"/>
      <c r="AG52" s="1022"/>
      <c r="AH52" s="1024"/>
    </row>
    <row r="53" spans="1:35" ht="22.5" customHeight="1" thickBot="1" x14ac:dyDescent="0.3">
      <c r="A53" s="708"/>
      <c r="B53" s="203">
        <v>1200</v>
      </c>
      <c r="C53" s="204">
        <v>600</v>
      </c>
      <c r="D53" s="209">
        <v>80</v>
      </c>
      <c r="E53" s="254" t="s">
        <v>107</v>
      </c>
      <c r="F53" s="604" t="str">
        <f>IF(OR('ЛАЙТ Рязань'!$T$7="Завод 'ТЕХНО' г.Рязань",'ЛАЙТ Рязань'!$T$7="Завод 'ТЕХНО' г.Заинск"),'ЛАЙТ Рязань'!F53,'ЛАЙТ Юрга'!F53)</f>
        <v>С</v>
      </c>
      <c r="G53" s="205">
        <v>222.22222222222223</v>
      </c>
      <c r="H53" s="124">
        <v>32.150205761316869</v>
      </c>
      <c r="I53" s="1179">
        <f>IF(OR('ЛАЙТ Рязань'!$T$7="Завод 'ТЕХНО' г.Рязань",'ЛАЙТ Рязань'!$T$7="Завод 'ТЕХНО' г.Заинск"),'ЛАЙТ Рязань'!G53,'ЛАЙТ Юрга'!G53)</f>
        <v>228.09600000000003</v>
      </c>
      <c r="J53" s="170">
        <v>684.28800000000012</v>
      </c>
      <c r="K53" s="125">
        <v>6</v>
      </c>
      <c r="L53" s="166">
        <f t="shared" si="34"/>
        <v>4.32</v>
      </c>
      <c r="M53" s="126">
        <f t="shared" si="35"/>
        <v>0.34560000000000002</v>
      </c>
      <c r="N53" s="127">
        <v>20</v>
      </c>
      <c r="O53" s="172">
        <f t="shared" si="36"/>
        <v>6.9120000000000008</v>
      </c>
      <c r="P53" s="231">
        <f t="shared" si="10"/>
        <v>76.032000000000011</v>
      </c>
      <c r="Q53" s="126"/>
      <c r="R53" s="88">
        <f t="shared" si="2"/>
        <v>698.11200000000008</v>
      </c>
      <c r="S53" s="224">
        <f>IFERROR(IF(OR('ЛАЙТ Рязань'!$T$7="Завод 'ТЕХНО' г.Рязань",'ЛАЙТ Рязань'!$T$7="Завод 'ТЕХНО' г.Заинск"),IF('ЛАЙТ Рязань'!$T$7="Завод 'ТЕХНО' г.Рязань",'ЛАЙТ Рязань'!R53*(1-'ЛАЙТ Рязань'!$V$5-'ЛАЙТ Рязань'!V53)+IFERROR(SEARCH("комп",J53)/SEARCH("комп",J53)*'ЛАЙТ Рязань'!$R$5,'ЛАЙТ Рязань'!S$5),'ЛАЙТ Заинск'!R53*(1-'ЛАЙТ Рязань'!$V$5-'ЛАЙТ Рязань'!V53)+IFERROR(SEARCH("комп",J53)/SEARCH("комп",J53)*'ЛАЙТ Рязань'!$R$5,'ЛАЙТ Рязань'!S$5)),'ЛАЙТ Юрга'!R53*(1-'ЛАЙТ Рязань'!$V$5-'ЛАЙТ Рязань'!V53)+IFERROR(SEARCH("комп",J53)/SEARCH("комп",J53)*'ЛАЙТ Рязань'!$R$5,'ЛАЙТ Рязань'!S$5)),"нет")</f>
        <v>2020</v>
      </c>
      <c r="T53" s="101">
        <f t="shared" si="3"/>
        <v>161.6</v>
      </c>
      <c r="U53" s="1228"/>
      <c r="V53" s="1229"/>
      <c r="W53" s="1228"/>
      <c r="X53" s="1235"/>
      <c r="Y53" s="1155"/>
      <c r="Z53" s="1156"/>
      <c r="AA53" s="1157"/>
      <c r="AB53" s="991"/>
      <c r="AC53" s="991"/>
      <c r="AD53" s="991"/>
      <c r="AE53" s="991"/>
      <c r="AF53" s="991"/>
      <c r="AG53" s="1022"/>
      <c r="AH53" s="1024"/>
    </row>
    <row r="54" spans="1:35" ht="22.5" customHeight="1" thickBot="1" x14ac:dyDescent="0.3">
      <c r="A54" s="708"/>
      <c r="B54" s="203">
        <v>1200</v>
      </c>
      <c r="C54" s="204">
        <v>600</v>
      </c>
      <c r="D54" s="209">
        <v>90</v>
      </c>
      <c r="E54" s="254" t="s">
        <v>108</v>
      </c>
      <c r="F54" s="604" t="str">
        <f>IF(OR('ЛАЙТ Рязань'!$T$7="Завод 'ТЕХНО' г.Рязань",'ЛАЙТ Рязань'!$T$7="Завод 'ТЕХНО' г.Заинск"),'ЛАЙТ Рязань'!F54,'ЛАЙТ Юрга'!F54)</f>
        <v>С</v>
      </c>
      <c r="G54" s="205">
        <v>222.22222222222223</v>
      </c>
      <c r="H54" s="124">
        <v>35.722450845907638</v>
      </c>
      <c r="I54" s="1179">
        <f>IF(OR('ЛАЙТ Рязань'!$T$7="Завод 'ТЕХНО' г.Рязань",'ЛАЙТ Рязань'!$T$7="Завод 'ТЕХНО' г.Заинск"),'ЛАЙТ Рязань'!G54,'ЛАЙТ Юрга'!G54)</f>
        <v>223.94880000000001</v>
      </c>
      <c r="J54" s="170">
        <v>671.8463999999999</v>
      </c>
      <c r="K54" s="125">
        <v>6</v>
      </c>
      <c r="L54" s="166">
        <f t="shared" si="34"/>
        <v>4.32</v>
      </c>
      <c r="M54" s="126">
        <f t="shared" si="35"/>
        <v>0.38880000000000003</v>
      </c>
      <c r="N54" s="127">
        <v>16</v>
      </c>
      <c r="O54" s="172">
        <f t="shared" si="36"/>
        <v>6.2208000000000006</v>
      </c>
      <c r="P54" s="231">
        <f t="shared" si="10"/>
        <v>68.42880000000001</v>
      </c>
      <c r="Q54" s="126"/>
      <c r="R54" s="88">
        <f t="shared" si="2"/>
        <v>785.37600000000009</v>
      </c>
      <c r="S54" s="224">
        <f>IFERROR(IF(OR('ЛАЙТ Рязань'!$T$7="Завод 'ТЕХНО' г.Рязань",'ЛАЙТ Рязань'!$T$7="Завод 'ТЕХНО' г.Заинск"),IF('ЛАЙТ Рязань'!$T$7="Завод 'ТЕХНО' г.Рязань",'ЛАЙТ Рязань'!R54*(1-'ЛАЙТ Рязань'!$V$5-'ЛАЙТ Рязань'!V54)+IFERROR(SEARCH("комп",J54)/SEARCH("комп",J54)*'ЛАЙТ Рязань'!$R$5,'ЛАЙТ Рязань'!S$5),'ЛАЙТ Заинск'!R54*(1-'ЛАЙТ Рязань'!$V$5-'ЛАЙТ Рязань'!V54)+IFERROR(SEARCH("комп",J54)/SEARCH("комп",J54)*'ЛАЙТ Рязань'!$R$5,'ЛАЙТ Рязань'!S$5)),'ЛАЙТ Юрга'!R54*(1-'ЛАЙТ Рязань'!$V$5-'ЛАЙТ Рязань'!V54)+IFERROR(SEARCH("комп",J54)/SEARCH("комп",J54)*'ЛАЙТ Рязань'!$R$5,'ЛАЙТ Рязань'!S$5)),"нет")</f>
        <v>2020</v>
      </c>
      <c r="T54" s="101">
        <f t="shared" si="3"/>
        <v>181.8</v>
      </c>
      <c r="U54" s="1228"/>
      <c r="V54" s="1229"/>
      <c r="W54" s="1228"/>
      <c r="X54" s="1235"/>
      <c r="Y54" s="1155"/>
      <c r="Z54" s="1156"/>
      <c r="AA54" s="1157"/>
      <c r="AB54" s="991"/>
      <c r="AC54" s="991"/>
      <c r="AD54" s="991"/>
      <c r="AE54" s="991"/>
      <c r="AF54" s="991"/>
      <c r="AG54" s="1022"/>
      <c r="AH54" s="1024"/>
    </row>
    <row r="55" spans="1:35" ht="22.5" customHeight="1" thickBot="1" x14ac:dyDescent="0.3">
      <c r="A55" s="708"/>
      <c r="B55" s="203">
        <v>1200</v>
      </c>
      <c r="C55" s="204">
        <v>600</v>
      </c>
      <c r="D55" s="209">
        <v>100</v>
      </c>
      <c r="E55" s="254" t="s">
        <v>109</v>
      </c>
      <c r="F55" s="604" t="str">
        <f>IF(OR('ЛАЙТ Рязань'!$T$7="Завод 'ТЕХНО' г.Рязань",'ЛАЙТ Рязань'!$T$7="Завод 'ТЕХНО' г.Заинск"),'ЛАЙТ Рязань'!F55,'ЛАЙТ Юрга'!F55)</f>
        <v>Б</v>
      </c>
      <c r="G55" s="205"/>
      <c r="H55" s="124">
        <v>0</v>
      </c>
      <c r="I55" s="1179" t="str">
        <f>IF(OR('ЛАЙТ Рязань'!$T$7="Завод 'ТЕХНО' г.Рязань",'ЛАЙТ Рязань'!$T$7="Завод 'ТЕХНО' г.Заинск"),'ЛАЙТ Рязань'!G55,'ЛАЙТ Юрга'!G55)</f>
        <v xml:space="preserve"> </v>
      </c>
      <c r="J55" s="170" t="s">
        <v>179</v>
      </c>
      <c r="K55" s="125">
        <v>6</v>
      </c>
      <c r="L55" s="166">
        <f t="shared" si="34"/>
        <v>4.32</v>
      </c>
      <c r="M55" s="126">
        <f t="shared" si="35"/>
        <v>0.432</v>
      </c>
      <c r="N55" s="127">
        <v>16</v>
      </c>
      <c r="O55" s="172">
        <f t="shared" si="36"/>
        <v>6.9119999999999999</v>
      </c>
      <c r="P55" s="231">
        <f t="shared" si="10"/>
        <v>76.031999999999996</v>
      </c>
      <c r="Q55" s="126"/>
      <c r="R55" s="88">
        <f t="shared" si="2"/>
        <v>872.64</v>
      </c>
      <c r="S55" s="224">
        <f>IFERROR(IF(OR('ЛАЙТ Рязань'!$T$7="Завод 'ТЕХНО' г.Рязань",'ЛАЙТ Рязань'!$T$7="Завод 'ТЕХНО' г.Заинск"),IF('ЛАЙТ Рязань'!$T$7="Завод 'ТЕХНО' г.Рязань",'ЛАЙТ Рязань'!R55*(1-'ЛАЙТ Рязань'!$V$5-'ЛАЙТ Рязань'!V55)+IFERROR(SEARCH("комп",J55)/SEARCH("комп",J55)*'ЛАЙТ Рязань'!$R$5,'ЛАЙТ Рязань'!S$5),'ЛАЙТ Заинск'!R55*(1-'ЛАЙТ Рязань'!$V$5-'ЛАЙТ Рязань'!V55)+IFERROR(SEARCH("комп",J55)/SEARCH("комп",J55)*'ЛАЙТ Рязань'!$R$5,'ЛАЙТ Рязань'!S$5)),'ЛАЙТ Юрга'!R55*(1-'ЛАЙТ Рязань'!$V$5-'ЛАЙТ Рязань'!V55)+IFERROR(SEARCH("комп",J55)/SEARCH("комп",J55)*'ЛАЙТ Рязань'!$R$5,'ЛАЙТ Рязань'!S$5)),"нет")</f>
        <v>2020</v>
      </c>
      <c r="T55" s="101">
        <f t="shared" si="3"/>
        <v>202</v>
      </c>
      <c r="U55" s="1228"/>
      <c r="V55" s="1229"/>
      <c r="W55" s="1228"/>
      <c r="X55" s="1235"/>
      <c r="Y55" s="1155"/>
      <c r="Z55" s="1156"/>
      <c r="AA55" s="1157"/>
      <c r="AB55" s="991"/>
      <c r="AC55" s="991"/>
      <c r="AD55" s="991"/>
      <c r="AE55" s="991"/>
      <c r="AF55" s="991"/>
      <c r="AG55" s="1022"/>
      <c r="AH55" s="1024"/>
      <c r="AI55" s="953"/>
    </row>
    <row r="56" spans="1:35" ht="22.5" customHeight="1" thickBot="1" x14ac:dyDescent="0.3">
      <c r="A56" s="708"/>
      <c r="B56" s="203">
        <v>1200</v>
      </c>
      <c r="C56" s="204">
        <v>600</v>
      </c>
      <c r="D56" s="209">
        <v>100</v>
      </c>
      <c r="E56" s="663" t="s">
        <v>461</v>
      </c>
      <c r="F56" s="604" t="str">
        <f>IF(OR('ЛАЙТ Рязань'!$T$7="Завод 'ТЕХНО' г.Рязань",'ЛАЙТ Рязань'!$T$7="Завод 'ТЕХНО' г.Заинск"),'ЛАЙТ Рязань'!F56,'ЛАЙТ Юрга'!F56)</f>
        <v>Б</v>
      </c>
      <c r="G56" s="205"/>
      <c r="H56" s="124">
        <v>0</v>
      </c>
      <c r="I56" s="1179" t="str">
        <f>IF(OR('ЛАЙТ Рязань'!$T$7="Завод 'ТЕХНО' г.Рязань",'ЛАЙТ Рязань'!$T$7="Завод 'ТЕХНО' г.Заинск"),'ЛАЙТ Рязань'!G56,'ЛАЙТ Юрга'!G56)</f>
        <v xml:space="preserve"> </v>
      </c>
      <c r="J56" s="170" t="str">
        <f>J55</f>
        <v>термоус</v>
      </c>
      <c r="K56" s="125">
        <v>4</v>
      </c>
      <c r="L56" s="166">
        <f t="shared" si="34"/>
        <v>2.88</v>
      </c>
      <c r="M56" s="126">
        <f t="shared" si="35"/>
        <v>0.28799999999999998</v>
      </c>
      <c r="N56" s="127">
        <v>24</v>
      </c>
      <c r="O56" s="172">
        <f t="shared" si="36"/>
        <v>6.911999999999999</v>
      </c>
      <c r="P56" s="231">
        <f t="shared" si="10"/>
        <v>76.031999999999982</v>
      </c>
      <c r="Q56" s="126"/>
      <c r="R56" s="88">
        <f t="shared" si="2"/>
        <v>580.89599999999996</v>
      </c>
      <c r="S56" s="792">
        <f>IFERROR(IF(OR('ЛАЙТ Рязань'!$T$7="Завод 'ТЕХНО' г.Рязань",'ЛАЙТ Рязань'!$T$7="Завод 'ТЕХНО' г.Заинск"),IF('ЛАЙТ Рязань'!$T$7="Завод 'ТЕХНО' г.Рязань",'ЛАЙТ Рязань'!R56*(1-'ЛАЙТ Рязань'!$V$5-'ЛАЙТ Рязань'!V56)+IFERROR(SEARCH("комп",J56)/SEARCH("комп",J56)*'ЛАЙТ Рязань'!$R$5,'ЛАЙТ Рязань'!O$5),'ЛАЙТ Заинск'!R56*(1-'ЛАЙТ Рязань'!$V$5-'ЛАЙТ Рязань'!V56)+IFERROR(SEARCH("комп",J56)/SEARCH("комп",J56)*'ЛАЙТ Рязань'!$R$5,'ЛАЙТ Рязань'!O$5)),'ЛАЙТ Юрга'!R56*(1-'ЛАЙТ Рязань'!$V$5-'ЛАЙТ Рязань'!V56)+IFERROR(SEARCH("комп",J56)/SEARCH("комп",J56)*'ЛАЙТ Рязань'!$R$5,'ЛАЙТ Рязань'!S$5)),"нет")</f>
        <v>2017</v>
      </c>
      <c r="T56" s="101">
        <f t="shared" si="3"/>
        <v>201.7</v>
      </c>
      <c r="U56" s="1228"/>
      <c r="V56" s="1229"/>
      <c r="W56" s="1228"/>
      <c r="X56" s="1235"/>
      <c r="Y56" s="1155"/>
      <c r="Z56" s="1156"/>
      <c r="AA56" s="1157"/>
      <c r="AB56" s="991"/>
      <c r="AC56" s="991"/>
      <c r="AD56" s="991"/>
      <c r="AE56" s="991"/>
      <c r="AF56" s="991"/>
      <c r="AG56" s="1022"/>
    </row>
    <row r="57" spans="1:35" ht="22.5" customHeight="1" thickBot="1" x14ac:dyDescent="0.3">
      <c r="A57" s="708"/>
      <c r="B57" s="203">
        <v>1200</v>
      </c>
      <c r="C57" s="204">
        <v>600</v>
      </c>
      <c r="D57" s="209">
        <v>110</v>
      </c>
      <c r="E57" s="254" t="s">
        <v>696</v>
      </c>
      <c r="F57" s="604" t="str">
        <f>IF(OR('ЛАЙТ Рязань'!$T$7="Завод 'ТЕХНО' г.Рязань",'ЛАЙТ Рязань'!$T$7="Завод 'ТЕХНО' г.Заинск"),'ЛАЙТ Рязань'!F57,'ЛАЙТ Юрга'!F57)</f>
        <v>С</v>
      </c>
      <c r="G57" s="205">
        <v>222.22222222222223</v>
      </c>
      <c r="H57" s="124">
        <v>35.072951739618404</v>
      </c>
      <c r="I57" s="1179">
        <f>IF(OR('ЛАЙТ Рязань'!$T$7="Завод 'ТЕХНО' г.Рязань",'ЛАЙТ Рязань'!$T$7="Завод 'ТЕХНО' г.Заинск"),'ЛАЙТ Рязань'!G57,'ЛАЙТ Юрга'!G57)</f>
        <v>226.19520000000003</v>
      </c>
      <c r="J57" s="170">
        <v>684.28800000000001</v>
      </c>
      <c r="K57" s="125">
        <v>3</v>
      </c>
      <c r="L57" s="166">
        <f t="shared" ref="L57" si="41">B57*C57*K57/1000000</f>
        <v>2.16</v>
      </c>
      <c r="M57" s="126">
        <f t="shared" ref="M57" si="42">L57*D57/1000</f>
        <v>0.23760000000000003</v>
      </c>
      <c r="N57" s="127">
        <v>28</v>
      </c>
      <c r="O57" s="172">
        <f t="shared" ref="O57" si="43">M57*N57</f>
        <v>6.6528000000000009</v>
      </c>
      <c r="P57" s="231">
        <f t="shared" ref="P57" si="44">O57*11</f>
        <v>73.180800000000005</v>
      </c>
      <c r="Q57" s="126"/>
      <c r="R57" s="88">
        <f t="shared" ref="R57" si="45">IFERROR(M57*S57,"---")</f>
        <v>479.95200000000006</v>
      </c>
      <c r="S57" s="786">
        <f>IFERROR(IF(OR('ЛАЙТ Рязань'!$T$7="Завод 'ТЕХНО' г.Рязань",'ЛАЙТ Рязань'!$T$7="Завод 'ТЕХНО' г.Заинск"),IF('ЛАЙТ Рязань'!$T$7="Завод 'ТЕХНО' г.Рязань",'ЛАЙТ Рязань'!R57*(1-'ЛАЙТ Рязань'!$V$5-'ЛАЙТ Рязань'!V57)+IFERROR(SEARCH("комп",J57)/SEARCH("комп",J57)*'ЛАЙТ Рязань'!$R$5,'ЛАЙТ Рязань'!S$5),'ЛАЙТ Заинск'!R57*(1-'ЛАЙТ Рязань'!$V$5-'ЛАЙТ Рязань'!V57)+IFERROR(SEARCH("комп",J57)/SEARCH("комп",J57)*'ЛАЙТ Рязань'!$R$5,'ЛАЙТ Рязань'!S$5)),'ЛАЙТ Юрга'!R57*(1-'ЛАЙТ Рязань'!$V$5-'ЛАЙТ Рязань'!V57)+IFERROR(SEARCH("комп",J57)/SEARCH("комп",J57)*'ЛАЙТ Рязань'!$R$5,'ЛАЙТ Рязань'!S$5)),"нет")</f>
        <v>2020</v>
      </c>
      <c r="T57" s="101">
        <f t="shared" ref="T57" si="46">IFERROR(S57*D57/1000,"---")</f>
        <v>222.2</v>
      </c>
      <c r="U57" s="1228"/>
      <c r="V57" s="1229"/>
      <c r="W57" s="1228"/>
      <c r="X57" s="1235"/>
      <c r="Y57" s="1155"/>
      <c r="Z57" s="1156"/>
      <c r="AA57" s="1157"/>
      <c r="AB57" s="991"/>
      <c r="AC57" s="991"/>
      <c r="AD57" s="991"/>
      <c r="AE57" s="991"/>
      <c r="AF57" s="991"/>
      <c r="AG57" s="1022"/>
    </row>
    <row r="58" spans="1:35" ht="22.5" customHeight="1" thickBot="1" x14ac:dyDescent="0.3">
      <c r="A58" s="708"/>
      <c r="B58" s="203">
        <v>1200</v>
      </c>
      <c r="C58" s="204">
        <v>600</v>
      </c>
      <c r="D58" s="209">
        <v>120</v>
      </c>
      <c r="E58" s="254" t="s">
        <v>473</v>
      </c>
      <c r="F58" s="604" t="str">
        <f>IF(OR('ЛАЙТ Рязань'!$T$7="Завод 'ТЕХНО' г.Рязань",'ЛАЙТ Рязань'!$T$7="Завод 'ТЕХНО' г.Заинск"),'ЛАЙТ Рязань'!F58,'ЛАЙТ Юрга'!F58)</f>
        <v>С</v>
      </c>
      <c r="G58" s="205"/>
      <c r="H58" s="124">
        <v>0</v>
      </c>
      <c r="I58" s="1179">
        <f>IF(OR('ЛАЙТ Рязань'!$T$7="Завод 'ТЕХНО' г.Рязань",'ЛАЙТ Рязань'!$T$7="Завод 'ТЕХНО' г.Заинск"),'ЛАЙТ Рязань'!G58,'ЛАЙТ Юрга'!G58)</f>
        <v>228.096</v>
      </c>
      <c r="J58" s="170">
        <v>746.49600000000009</v>
      </c>
      <c r="K58" s="125">
        <v>5</v>
      </c>
      <c r="L58" s="166">
        <f t="shared" si="34"/>
        <v>3.6</v>
      </c>
      <c r="M58" s="126">
        <f t="shared" si="35"/>
        <v>0.432</v>
      </c>
      <c r="N58" s="127">
        <v>16</v>
      </c>
      <c r="O58" s="172">
        <f t="shared" si="36"/>
        <v>6.9119999999999999</v>
      </c>
      <c r="P58" s="231">
        <f t="shared" si="10"/>
        <v>76.031999999999996</v>
      </c>
      <c r="Q58" s="126"/>
      <c r="R58" s="88">
        <f t="shared" si="2"/>
        <v>872.64</v>
      </c>
      <c r="S58" s="786">
        <f>IFERROR(IF(OR('ЛАЙТ Рязань'!$T$7="Завод 'ТЕХНО' г.Рязань",'ЛАЙТ Рязань'!$T$7="Завод 'ТЕХНО' г.Заинск"),IF('ЛАЙТ Рязань'!$T$7="Завод 'ТЕХНО' г.Рязань",'ЛАЙТ Рязань'!R58*(1-'ЛАЙТ Рязань'!$V$5-'ЛАЙТ Рязань'!V58)+IFERROR(SEARCH("комп",J58)/SEARCH("комп",J58)*'ЛАЙТ Рязань'!$R$5,'ЛАЙТ Рязань'!S$5),'ЛАЙТ Заинск'!R58*(1-'ЛАЙТ Рязань'!$V$5-'ЛАЙТ Рязань'!V58)+IFERROR(SEARCH("комп",J58)/SEARCH("комп",J58)*'ЛАЙТ Рязань'!$R$5,'ЛАЙТ Рязань'!S$5)),'ЛАЙТ Юрга'!R58*(1-'ЛАЙТ Рязань'!$V$5-'ЛАЙТ Рязань'!V58)+IFERROR(SEARCH("комп",J58)/SEARCH("комп",J58)*'ЛАЙТ Рязань'!$R$5,'ЛАЙТ Рязань'!S$5)),"нет")</f>
        <v>2020</v>
      </c>
      <c r="T58" s="101">
        <f t="shared" si="3"/>
        <v>242.4</v>
      </c>
      <c r="U58" s="1228"/>
      <c r="V58" s="1229"/>
      <c r="W58" s="1228"/>
      <c r="X58" s="1235"/>
      <c r="Y58" s="1155"/>
      <c r="Z58" s="1156"/>
      <c r="AA58" s="1157"/>
      <c r="AB58" s="991"/>
      <c r="AC58" s="991"/>
      <c r="AD58" s="991"/>
      <c r="AE58" s="991"/>
      <c r="AF58" s="991"/>
      <c r="AG58" s="1022"/>
    </row>
    <row r="59" spans="1:35" ht="22.5" customHeight="1" thickBot="1" x14ac:dyDescent="0.3">
      <c r="A59" s="708"/>
      <c r="B59" s="203">
        <v>1200</v>
      </c>
      <c r="C59" s="204">
        <v>600</v>
      </c>
      <c r="D59" s="209">
        <v>130</v>
      </c>
      <c r="E59" s="254" t="s">
        <v>697</v>
      </c>
      <c r="F59" s="604" t="str">
        <f>IF(OR('ЛАЙТ Рязань'!$T$7="Завод 'ТЕХНО' г.Рязань",'ЛАЙТ Рязань'!$T$7="Завод 'ТЕХНО' г.Заинск"),'ЛАЙТ Рязань'!F58,'ЛАЙТ Юрга'!F58)</f>
        <v>С</v>
      </c>
      <c r="G59" s="205">
        <v>222.22222222222223</v>
      </c>
      <c r="H59" s="124">
        <v>37.096391263057932</v>
      </c>
      <c r="I59" s="1179">
        <f>IF(OR('ЛАЙТ Рязань'!$T$7="Завод 'ТЕХНО' г.Рязань",'ЛАЙТ Рязань'!$T$7="Завод 'ТЕХНО' г.Заинск"),'ЛАЙТ Рязань'!G59,'ЛАЙТ Юрга'!G59)</f>
        <v>222.39360000000002</v>
      </c>
      <c r="J59" s="170">
        <v>646.96320000000003</v>
      </c>
      <c r="K59" s="125">
        <v>3</v>
      </c>
      <c r="L59" s="166">
        <f t="shared" ref="L59" si="47">B59*C59*K59/1000000</f>
        <v>2.16</v>
      </c>
      <c r="M59" s="126">
        <f t="shared" ref="M59" si="48">L59*D59/1000</f>
        <v>0.28079999999999999</v>
      </c>
      <c r="N59" s="127">
        <v>24</v>
      </c>
      <c r="O59" s="172">
        <f t="shared" ref="O59" si="49">M59*N59</f>
        <v>6.7392000000000003</v>
      </c>
      <c r="P59" s="231">
        <f t="shared" ref="P59" si="50">O59*11</f>
        <v>74.131200000000007</v>
      </c>
      <c r="Q59" s="126"/>
      <c r="R59" s="88">
        <f t="shared" ref="R59" si="51">IFERROR(M59*S59,"---")</f>
        <v>567.21600000000001</v>
      </c>
      <c r="S59" s="786">
        <f>IFERROR(IF(OR('ЛАЙТ Рязань'!$T$7="Завод 'ТЕХНО' г.Рязань",'ЛАЙТ Рязань'!$T$7="Завод 'ТЕХНО' г.Заинск"),IF('ЛАЙТ Рязань'!$T$7="Завод 'ТЕХНО' г.Рязань",'ЛАЙТ Рязань'!R59*(1-'ЛАЙТ Рязань'!$V$5-'ЛАЙТ Рязань'!V59)+IFERROR(SEARCH("комп",J59)/SEARCH("комп",J59)*'ЛАЙТ Рязань'!$R$5,'ЛАЙТ Рязань'!S$5),'ЛАЙТ Заинск'!R59*(1-'ЛАЙТ Рязань'!$V$5-'ЛАЙТ Рязань'!V59)+IFERROR(SEARCH("комп",J59)/SEARCH("комп",J59)*'ЛАЙТ Рязань'!$R$5,'ЛАЙТ Рязань'!S$5)),'ЛАЙТ Юрга'!R59*(1-'ЛАЙТ Рязань'!$V$5-'ЛАЙТ Рязань'!V59)+IFERROR(SEARCH("комп",J59)/SEARCH("комп",J59)*'ЛАЙТ Рязань'!$R$5,'ЛАЙТ Рязань'!S$5)),"нет")</f>
        <v>2020</v>
      </c>
      <c r="T59" s="101">
        <f t="shared" ref="T59" si="52">IFERROR(S59*D59/1000,"---")</f>
        <v>262.60000000000002</v>
      </c>
      <c r="U59" s="1228"/>
      <c r="V59" s="1229"/>
      <c r="W59" s="1228"/>
      <c r="X59" s="1235"/>
      <c r="Y59" s="1155"/>
      <c r="Z59" s="1156"/>
      <c r="AA59" s="1157"/>
      <c r="AB59" s="991"/>
      <c r="AC59" s="991"/>
      <c r="AD59" s="991"/>
      <c r="AE59" s="991"/>
      <c r="AF59" s="991"/>
      <c r="AG59" s="1022"/>
    </row>
    <row r="60" spans="1:35" ht="22.5" customHeight="1" thickBot="1" x14ac:dyDescent="0.3">
      <c r="A60" s="708"/>
      <c r="B60" s="203">
        <v>1200</v>
      </c>
      <c r="C60" s="204">
        <v>600</v>
      </c>
      <c r="D60" s="209">
        <v>140</v>
      </c>
      <c r="E60" s="254" t="s">
        <v>464</v>
      </c>
      <c r="F60" s="604" t="str">
        <f>IF(OR('ЛАЙТ Рязань'!$T$7="Завод 'ТЕХНО' г.Рязань",'ЛАЙТ Рязань'!$T$7="Завод 'ТЕХНО' г.Заинск"),'ЛАЙТ Рязань'!F60,'ЛАЙТ Юрга'!F60)</f>
        <v>С</v>
      </c>
      <c r="G60" s="205">
        <v>222.22222222222223</v>
      </c>
      <c r="H60" s="124">
        <v>36.743092298647852</v>
      </c>
      <c r="I60" s="1179">
        <f>IF(OR('ЛАЙТ Рязань'!$T$7="Завод 'ТЕХНО' г.Рязань",'ЛАЙТ Рязань'!$T$7="Завод 'ТЕХНО' г.Заинск"),'ЛАЙТ Рязань'!G60,'ЛАЙТ Юрга'!G60)</f>
        <v>225.792</v>
      </c>
      <c r="J60" s="170">
        <v>653.18399999999997</v>
      </c>
      <c r="K60" s="125">
        <v>4</v>
      </c>
      <c r="L60" s="166">
        <f t="shared" si="34"/>
        <v>2.88</v>
      </c>
      <c r="M60" s="126">
        <f t="shared" si="35"/>
        <v>0.4032</v>
      </c>
      <c r="N60" s="127">
        <v>16</v>
      </c>
      <c r="O60" s="172">
        <f t="shared" si="36"/>
        <v>6.4512</v>
      </c>
      <c r="P60" s="231">
        <f t="shared" si="10"/>
        <v>70.963200000000001</v>
      </c>
      <c r="Q60" s="126"/>
      <c r="R60" s="88">
        <f t="shared" si="2"/>
        <v>814.46400000000006</v>
      </c>
      <c r="S60" s="786">
        <f>IFERROR(IF(OR('ЛАЙТ Рязань'!$T$7="Завод 'ТЕХНО' г.Рязань",'ЛАЙТ Рязань'!$T$7="Завод 'ТЕХНО' г.Заинск"),IF('ЛАЙТ Рязань'!$T$7="Завод 'ТЕХНО' г.Рязань",'ЛАЙТ Рязань'!R60*(1-'ЛАЙТ Рязань'!$V$5-'ЛАЙТ Рязань'!V60)+IFERROR(SEARCH("комп",J60)/SEARCH("комп",J60)*'ЛАЙТ Рязань'!$R$5,'ЛАЙТ Рязань'!S$5),'ЛАЙТ Заинск'!R60*(1-'ЛАЙТ Рязань'!$V$5-'ЛАЙТ Рязань'!V60)+IFERROR(SEARCH("комп",J60)/SEARCH("комп",J60)*'ЛАЙТ Рязань'!$R$5,'ЛАЙТ Рязань'!S$5)),'ЛАЙТ Юрга'!R60*(1-'ЛАЙТ Рязань'!$V$5-'ЛАЙТ Рязань'!V60)+IFERROR(SEARCH("комп",J60)/SEARCH("комп",J60)*'ЛАЙТ Рязань'!$R$5,'ЛАЙТ Рязань'!S$5)),"нет")</f>
        <v>2020</v>
      </c>
      <c r="T60" s="101">
        <f t="shared" si="3"/>
        <v>282.8</v>
      </c>
      <c r="U60" s="1228"/>
      <c r="V60" s="1229"/>
      <c r="W60" s="1228"/>
      <c r="X60" s="1235"/>
      <c r="Y60" s="1155"/>
      <c r="Z60" s="1156"/>
      <c r="AA60" s="1157"/>
      <c r="AB60" s="991"/>
      <c r="AC60" s="991"/>
      <c r="AD60" s="991"/>
      <c r="AE60" s="991"/>
      <c r="AF60" s="991"/>
      <c r="AG60" s="1022"/>
    </row>
    <row r="61" spans="1:35" ht="22.5" customHeight="1" thickBot="1" x14ac:dyDescent="0.3">
      <c r="A61" s="708"/>
      <c r="B61" s="203">
        <v>1200</v>
      </c>
      <c r="C61" s="204">
        <v>600</v>
      </c>
      <c r="D61" s="209">
        <v>150</v>
      </c>
      <c r="E61" s="254" t="s">
        <v>112</v>
      </c>
      <c r="F61" s="604" t="str">
        <f>IF(OR('ЛАЙТ Рязань'!$T$7="Завод 'ТЕХНО' г.Рязань",'ЛАЙТ Рязань'!$T$7="Завод 'ТЕХНО' г.Заинск"),'ЛАЙТ Рязань'!F61,'ЛАЙТ Юрга'!F61)</f>
        <v>С</v>
      </c>
      <c r="G61" s="205">
        <v>222.22222222222223</v>
      </c>
      <c r="H61" s="124">
        <v>32.150205761316876</v>
      </c>
      <c r="I61" s="1179">
        <f>IF(OR('ЛАЙТ Рязань'!$T$7="Завод 'ТЕХНО' г.Рязань",'ЛАЙТ Рязань'!$T$7="Завод 'ТЕХНО' г.Заинск"),'ЛАЙТ Рязань'!G61,'ЛАЙТ Юрга'!G61)</f>
        <v>228.096</v>
      </c>
      <c r="J61" s="170">
        <v>746.49599999999998</v>
      </c>
      <c r="K61" s="125">
        <v>4</v>
      </c>
      <c r="L61" s="166">
        <f t="shared" si="34"/>
        <v>2.88</v>
      </c>
      <c r="M61" s="126">
        <f t="shared" si="35"/>
        <v>0.432</v>
      </c>
      <c r="N61" s="127">
        <v>16</v>
      </c>
      <c r="O61" s="172">
        <f t="shared" si="36"/>
        <v>6.9119999999999999</v>
      </c>
      <c r="P61" s="231">
        <f t="shared" si="10"/>
        <v>76.031999999999996</v>
      </c>
      <c r="Q61" s="126"/>
      <c r="R61" s="88">
        <f t="shared" si="2"/>
        <v>872.64</v>
      </c>
      <c r="S61" s="786">
        <f>IFERROR(IF(OR('ЛАЙТ Рязань'!$T$7="Завод 'ТЕХНО' г.Рязань",'ЛАЙТ Рязань'!$T$7="Завод 'ТЕХНО' г.Заинск"),IF('ЛАЙТ Рязань'!$T$7="Завод 'ТЕХНО' г.Рязань",'ЛАЙТ Рязань'!R61*(1-'ЛАЙТ Рязань'!$V$5-'ЛАЙТ Рязань'!V61)+IFERROR(SEARCH("комп",J61)/SEARCH("комп",J61)*'ЛАЙТ Рязань'!$R$5,'ЛАЙТ Рязань'!S$5),'ЛАЙТ Заинск'!R61*(1-'ЛАЙТ Рязань'!$V$5-'ЛАЙТ Рязань'!V61)+IFERROR(SEARCH("комп",J61)/SEARCH("комп",J61)*'ЛАЙТ Рязань'!$R$5,'ЛАЙТ Рязань'!S$5)),'ЛАЙТ Юрга'!R61*(1-'ЛАЙТ Рязань'!$V$5-'ЛАЙТ Рязань'!V61)+IFERROR(SEARCH("комп",J61)/SEARCH("комп",J61)*'ЛАЙТ Рязань'!$R$5,'ЛАЙТ Рязань'!S$5)),"нет")</f>
        <v>2020</v>
      </c>
      <c r="T61" s="101">
        <f t="shared" si="3"/>
        <v>303</v>
      </c>
      <c r="U61" s="1228"/>
      <c r="V61" s="1229"/>
      <c r="W61" s="1228"/>
      <c r="X61" s="1235"/>
      <c r="Y61" s="1155"/>
      <c r="Z61" s="1156"/>
      <c r="AA61" s="1157"/>
      <c r="AB61" s="991"/>
      <c r="AC61" s="991"/>
      <c r="AD61" s="991"/>
      <c r="AE61" s="991"/>
      <c r="AF61" s="991"/>
      <c r="AG61" s="1022"/>
    </row>
    <row r="62" spans="1:35" ht="22.5" customHeight="1" thickBot="1" x14ac:dyDescent="0.3">
      <c r="A62" s="708"/>
      <c r="B62" s="203">
        <v>1200</v>
      </c>
      <c r="C62" s="204">
        <v>600</v>
      </c>
      <c r="D62" s="209">
        <v>160</v>
      </c>
      <c r="E62" s="254" t="s">
        <v>113</v>
      </c>
      <c r="F62" s="604" t="str">
        <f>IF(OR('ЛАЙТ Рязань'!$T$7="Завод 'ТЕХНО' г.Рязань",'ЛАЙТ Рязань'!$T$7="Завод 'ТЕХНО' г.Заинск"),'ЛАЙТ Рязань'!F62,'ЛАЙТ Юрга'!F62)</f>
        <v>С</v>
      </c>
      <c r="G62" s="205">
        <v>222.22222222222223</v>
      </c>
      <c r="H62" s="124">
        <v>32.150205761316869</v>
      </c>
      <c r="I62" s="1179">
        <f>IF(OR('ЛАЙТ Рязань'!$T$7="Завод 'ТЕХНО' г.Рязань",'ЛАЙТ Рязань'!$T$7="Завод 'ТЕХНО' г.Заинск"),'ЛАЙТ Рязань'!G62,'ЛАЙТ Юрга'!G62)</f>
        <v>228.09600000000003</v>
      </c>
      <c r="J62" s="170">
        <v>746.49600000000009</v>
      </c>
      <c r="K62" s="125">
        <v>3</v>
      </c>
      <c r="L62" s="166">
        <f t="shared" si="34"/>
        <v>2.16</v>
      </c>
      <c r="M62" s="126">
        <f t="shared" si="35"/>
        <v>0.34560000000000002</v>
      </c>
      <c r="N62" s="127">
        <v>20</v>
      </c>
      <c r="O62" s="172">
        <f t="shared" si="36"/>
        <v>6.9120000000000008</v>
      </c>
      <c r="P62" s="231">
        <f t="shared" si="10"/>
        <v>76.032000000000011</v>
      </c>
      <c r="Q62" s="126"/>
      <c r="R62" s="88">
        <f t="shared" si="2"/>
        <v>698.11200000000008</v>
      </c>
      <c r="S62" s="786">
        <f>IFERROR(IF(OR('ЛАЙТ Рязань'!$T$7="Завод 'ТЕХНО' г.Рязань",'ЛАЙТ Рязань'!$T$7="Завод 'ТЕХНО' г.Заинск"),IF('ЛАЙТ Рязань'!$T$7="Завод 'ТЕХНО' г.Рязань",'ЛАЙТ Рязань'!R62*(1-'ЛАЙТ Рязань'!$V$5-'ЛАЙТ Рязань'!V62)+IFERROR(SEARCH("комп",J62)/SEARCH("комп",J62)*'ЛАЙТ Рязань'!$R$5,'ЛАЙТ Рязань'!S$5),'ЛАЙТ Заинск'!R62*(1-'ЛАЙТ Рязань'!$V$5-'ЛАЙТ Рязань'!V62)+IFERROR(SEARCH("комп",J62)/SEARCH("комп",J62)*'ЛАЙТ Рязань'!$R$5,'ЛАЙТ Рязань'!S$5)),'ЛАЙТ Юрга'!R62*(1-'ЛАЙТ Рязань'!$V$5-'ЛАЙТ Рязань'!V62)+IFERROR(SEARCH("комп",J62)/SEARCH("комп",J62)*'ЛАЙТ Рязань'!$R$5,'ЛАЙТ Рязань'!S$5)),"нет")</f>
        <v>2020</v>
      </c>
      <c r="T62" s="101">
        <f t="shared" si="3"/>
        <v>323.2</v>
      </c>
      <c r="U62" s="1228"/>
      <c r="V62" s="1229"/>
      <c r="W62" s="1228"/>
      <c r="X62" s="1235"/>
      <c r="Y62" s="1155"/>
      <c r="Z62" s="1156"/>
      <c r="AA62" s="1157"/>
      <c r="AB62" s="991"/>
      <c r="AC62" s="991"/>
      <c r="AD62" s="991"/>
      <c r="AE62" s="991"/>
      <c r="AF62" s="991"/>
      <c r="AG62" s="1022"/>
    </row>
    <row r="63" spans="1:35" ht="22.5" customHeight="1" thickBot="1" x14ac:dyDescent="0.3">
      <c r="A63" s="708"/>
      <c r="B63" s="203">
        <v>1200</v>
      </c>
      <c r="C63" s="204">
        <v>600</v>
      </c>
      <c r="D63" s="209">
        <v>170</v>
      </c>
      <c r="E63" s="254" t="s">
        <v>114</v>
      </c>
      <c r="F63" s="604" t="str">
        <f>IF(OR('ЛАЙТ Рязань'!$T$7="Завод 'ТЕХНО' г.Рязань",'ЛАЙТ Рязань'!$T$7="Завод 'ТЕХНО' г.Заинск"),'ЛАЙТ Рязань'!F63,'ЛАЙТ Юрга'!F63)</f>
        <v>С</v>
      </c>
      <c r="G63" s="205">
        <v>222.22222222222223</v>
      </c>
      <c r="H63" s="124">
        <v>37.823771483902199</v>
      </c>
      <c r="I63" s="1179">
        <f>IF(OR('ЛАЙТ Рязань'!$T$7="Завод 'ТЕХНО' г.Рязань",'ЛАЙТ Рязань'!$T$7="Завод 'ТЕХНО' г.Заинск"),'ЛАЙТ Рязань'!G63,'ЛАЙТ Юрга'!G63)</f>
        <v>223.25760000000002</v>
      </c>
      <c r="J63" s="170">
        <v>634.52160000000003</v>
      </c>
      <c r="K63" s="125">
        <v>3</v>
      </c>
      <c r="L63" s="166">
        <f t="shared" si="34"/>
        <v>2.16</v>
      </c>
      <c r="M63" s="126">
        <f t="shared" si="35"/>
        <v>0.36720000000000003</v>
      </c>
      <c r="N63" s="127">
        <v>16</v>
      </c>
      <c r="O63" s="172">
        <f t="shared" si="36"/>
        <v>5.8752000000000004</v>
      </c>
      <c r="P63" s="231">
        <f t="shared" si="10"/>
        <v>64.627200000000002</v>
      </c>
      <c r="Q63" s="126"/>
      <c r="R63" s="88">
        <f t="shared" si="2"/>
        <v>741.74400000000003</v>
      </c>
      <c r="S63" s="786">
        <f>IFERROR(IF(OR('ЛАЙТ Рязань'!$T$7="Завод 'ТЕХНО' г.Рязань",'ЛАЙТ Рязань'!$T$7="Завод 'ТЕХНО' г.Заинск"),IF('ЛАЙТ Рязань'!$T$7="Завод 'ТЕХНО' г.Рязань",'ЛАЙТ Рязань'!R63*(1-'ЛАЙТ Рязань'!$V$5-'ЛАЙТ Рязань'!V63)+IFERROR(SEARCH("комп",J63)/SEARCH("комп",J63)*'ЛАЙТ Рязань'!$R$5,'ЛАЙТ Рязань'!S$5),'ЛАЙТ Заинск'!R63*(1-'ЛАЙТ Рязань'!$V$5-'ЛАЙТ Рязань'!V63)+IFERROR(SEARCH("комп",J63)/SEARCH("комп",J63)*'ЛАЙТ Рязань'!$R$5,'ЛАЙТ Рязань'!S$5)),'ЛАЙТ Юрга'!R63*(1-'ЛАЙТ Рязань'!$V$5-'ЛАЙТ Рязань'!V63)+IFERROR(SEARCH("комп",J63)/SEARCH("комп",J63)*'ЛАЙТ Рязань'!$R$5,'ЛАЙТ Рязань'!S$5)),"нет")</f>
        <v>2020</v>
      </c>
      <c r="T63" s="101">
        <f t="shared" si="3"/>
        <v>343.4</v>
      </c>
      <c r="U63" s="1228"/>
      <c r="V63" s="1229"/>
      <c r="W63" s="1228"/>
      <c r="X63" s="1235"/>
      <c r="Y63" s="1155"/>
      <c r="Z63" s="1156"/>
      <c r="AA63" s="1157"/>
      <c r="AB63" s="991"/>
      <c r="AC63" s="991"/>
      <c r="AD63" s="991"/>
      <c r="AE63" s="991"/>
      <c r="AF63" s="991"/>
      <c r="AG63" s="1022"/>
    </row>
    <row r="64" spans="1:35" ht="22.5" customHeight="1" thickBot="1" x14ac:dyDescent="0.3">
      <c r="A64" s="708"/>
      <c r="B64" s="203">
        <v>1200</v>
      </c>
      <c r="C64" s="204">
        <v>600</v>
      </c>
      <c r="D64" s="209">
        <v>180</v>
      </c>
      <c r="E64" s="254" t="s">
        <v>115</v>
      </c>
      <c r="F64" s="604" t="str">
        <f>IF(OR('ЛАЙТ Рязань'!$T$7="Завод 'ТЕХНО' г.Рязань",'ЛАЙТ Рязань'!$T$7="Завод 'ТЕХНО' г.Заинск"),'ЛАЙТ Рязань'!F64,'ЛАЙТ Юрга'!F64)</f>
        <v>С</v>
      </c>
      <c r="G64" s="205">
        <v>222.22222222222223</v>
      </c>
      <c r="H64" s="124">
        <v>35.722450845907638</v>
      </c>
      <c r="I64" s="1179">
        <f>IF(OR('ЛАЙТ Рязань'!$T$7="Завод 'ТЕХНО' г.Рязань",'ЛАЙТ Рязань'!$T$7="Завод 'ТЕХНО' г.Заинск"),'ЛАЙТ Рязань'!G64,'ЛАЙТ Юрга'!G64)</f>
        <v>223.94880000000001</v>
      </c>
      <c r="J64" s="170">
        <v>671.8463999999999</v>
      </c>
      <c r="K64" s="125">
        <v>3</v>
      </c>
      <c r="L64" s="166">
        <f t="shared" si="34"/>
        <v>2.16</v>
      </c>
      <c r="M64" s="126">
        <f t="shared" si="35"/>
        <v>0.38880000000000003</v>
      </c>
      <c r="N64" s="127">
        <v>16</v>
      </c>
      <c r="O64" s="172">
        <f t="shared" si="36"/>
        <v>6.2208000000000006</v>
      </c>
      <c r="P64" s="231">
        <f t="shared" si="10"/>
        <v>68.42880000000001</v>
      </c>
      <c r="Q64" s="126"/>
      <c r="R64" s="88">
        <f t="shared" si="2"/>
        <v>785.37600000000009</v>
      </c>
      <c r="S64" s="786">
        <f>IFERROR(IF(OR('ЛАЙТ Рязань'!$T$7="Завод 'ТЕХНО' г.Рязань",'ЛАЙТ Рязань'!$T$7="Завод 'ТЕХНО' г.Заинск"),IF('ЛАЙТ Рязань'!$T$7="Завод 'ТЕХНО' г.Рязань",'ЛАЙТ Рязань'!R64*(1-'ЛАЙТ Рязань'!$V$5-'ЛАЙТ Рязань'!V64)+IFERROR(SEARCH("комп",J64)/SEARCH("комп",J64)*'ЛАЙТ Рязань'!$R$5,'ЛАЙТ Рязань'!S$5),'ЛАЙТ Заинск'!R64*(1-'ЛАЙТ Рязань'!$V$5-'ЛАЙТ Рязань'!V64)+IFERROR(SEARCH("комп",J64)/SEARCH("комп",J64)*'ЛАЙТ Рязань'!$R$5,'ЛАЙТ Рязань'!S$5)),'ЛАЙТ Юрга'!R64*(1-'ЛАЙТ Рязань'!$V$5-'ЛАЙТ Рязань'!V64)+IFERROR(SEARCH("комп",J64)/SEARCH("комп",J64)*'ЛАЙТ Рязань'!$R$5,'ЛАЙТ Рязань'!S$5)),"нет")</f>
        <v>2020</v>
      </c>
      <c r="T64" s="101">
        <f t="shared" si="3"/>
        <v>363.6</v>
      </c>
      <c r="U64" s="1228"/>
      <c r="V64" s="1229"/>
      <c r="W64" s="1228"/>
      <c r="X64" s="1235"/>
      <c r="Y64" s="1155"/>
      <c r="Z64" s="1156"/>
      <c r="AA64" s="1157"/>
      <c r="AB64" s="991"/>
      <c r="AC64" s="991"/>
      <c r="AD64" s="991"/>
      <c r="AE64" s="991"/>
      <c r="AF64" s="991"/>
      <c r="AG64" s="1022"/>
    </row>
    <row r="65" spans="1:40" ht="22.5" customHeight="1" thickBot="1" x14ac:dyDescent="0.3">
      <c r="A65" s="708"/>
      <c r="B65" s="203">
        <v>1200</v>
      </c>
      <c r="C65" s="204">
        <v>600</v>
      </c>
      <c r="D65" s="209">
        <v>190</v>
      </c>
      <c r="E65" s="254" t="s">
        <v>116</v>
      </c>
      <c r="F65" s="604" t="str">
        <f>IF(OR('ЛАЙТ Рязань'!$T$7="Завод 'ТЕХНО' г.Рязань",'ЛАЙТ Рязань'!$T$7="Завод 'ТЕХНО' г.Заинск"),'ЛАЙТ Рязань'!F65,'ЛАЙТ Юрга'!F65)</f>
        <v>С</v>
      </c>
      <c r="G65" s="205">
        <v>222.22222222222223</v>
      </c>
      <c r="H65" s="124">
        <v>33.842321854017761</v>
      </c>
      <c r="I65" s="1179">
        <f>IF(OR('ЛАЙТ Рязань'!$T$7="Завод 'ТЕХНО' г.Рязань",'ЛАЙТ Рязань'!$T$7="Завод 'ТЕХНО' г.Заинск"),'ЛАЙТ Рязань'!G65,'ЛАЙТ Юрга'!G65)</f>
        <v>223.25760000000002</v>
      </c>
      <c r="J65" s="170">
        <v>709.1712</v>
      </c>
      <c r="K65" s="125">
        <v>3</v>
      </c>
      <c r="L65" s="166">
        <f t="shared" si="34"/>
        <v>2.16</v>
      </c>
      <c r="M65" s="126">
        <f t="shared" si="35"/>
        <v>0.41040000000000004</v>
      </c>
      <c r="N65" s="127">
        <v>16</v>
      </c>
      <c r="O65" s="172">
        <f t="shared" si="36"/>
        <v>6.5664000000000007</v>
      </c>
      <c r="P65" s="231">
        <f t="shared" si="10"/>
        <v>72.230400000000003</v>
      </c>
      <c r="Q65" s="126"/>
      <c r="R65" s="88">
        <f t="shared" si="2"/>
        <v>829.00800000000004</v>
      </c>
      <c r="S65" s="786">
        <f>IFERROR(IF(OR('ЛАЙТ Рязань'!$T$7="Завод 'ТЕХНО' г.Рязань",'ЛАЙТ Рязань'!$T$7="Завод 'ТЕХНО' г.Заинск"),IF('ЛАЙТ Рязань'!$T$7="Завод 'ТЕХНО' г.Рязань",'ЛАЙТ Рязань'!R65*(1-'ЛАЙТ Рязань'!$V$5-'ЛАЙТ Рязань'!V65)+IFERROR(SEARCH("комп",J65)/SEARCH("комп",J65)*'ЛАЙТ Рязань'!$R$5,'ЛАЙТ Рязань'!S$5),'ЛАЙТ Заинск'!R65*(1-'ЛАЙТ Рязань'!$V$5-'ЛАЙТ Рязань'!V65)+IFERROR(SEARCH("комп",J65)/SEARCH("комп",J65)*'ЛАЙТ Рязань'!$R$5,'ЛАЙТ Рязань'!S$5)),'ЛАЙТ Юрга'!R65*(1-'ЛАЙТ Рязань'!$V$5-'ЛАЙТ Рязань'!V65)+IFERROR(SEARCH("комп",J65)/SEARCH("комп",J65)*'ЛАЙТ Рязань'!$R$5,'ЛАЙТ Рязань'!S$5)),"нет")</f>
        <v>2020</v>
      </c>
      <c r="T65" s="101">
        <f t="shared" si="3"/>
        <v>383.8</v>
      </c>
      <c r="U65" s="1228"/>
      <c r="V65" s="1229"/>
      <c r="W65" s="1228"/>
      <c r="X65" s="1235"/>
      <c r="Y65" s="1155"/>
      <c r="Z65" s="1156"/>
      <c r="AA65" s="1157"/>
      <c r="AB65" s="991"/>
      <c r="AC65" s="991"/>
      <c r="AD65" s="991"/>
      <c r="AE65" s="991"/>
      <c r="AF65" s="991"/>
      <c r="AG65" s="1022"/>
    </row>
    <row r="66" spans="1:40" ht="22.5" customHeight="1" thickBot="1" x14ac:dyDescent="0.3">
      <c r="A66" s="890"/>
      <c r="B66" s="240">
        <v>1200</v>
      </c>
      <c r="C66" s="241">
        <v>600</v>
      </c>
      <c r="D66" s="242">
        <v>200</v>
      </c>
      <c r="E66" s="257" t="s">
        <v>117</v>
      </c>
      <c r="F66" s="604" t="str">
        <f>IF(OR('ЛАЙТ Рязань'!$T$7="Завод 'ТЕХНО' г.Рязань",'ЛАЙТ Рязань'!$T$7="Завод 'ТЕХНО' г.Заинск"),'ЛАЙТ Рязань'!F66,'ЛАЙТ Юрга'!F66)</f>
        <v>С</v>
      </c>
      <c r="G66" s="239">
        <v>222.22222222222223</v>
      </c>
      <c r="H66" s="258">
        <v>32.150205761316876</v>
      </c>
      <c r="I66" s="1180">
        <f>IF(OR('ЛАЙТ Рязань'!$T$7="Завод 'ТЕХНО' г.Рязань",'ЛАЙТ Рязань'!$T$7="Завод 'ТЕХНО' г.Заинск"),'ЛАЙТ Рязань'!G66,'ЛАЙТ Юрга'!G66)</f>
        <v>228.096</v>
      </c>
      <c r="J66" s="262">
        <v>746.49599999999998</v>
      </c>
      <c r="K66" s="128">
        <v>3</v>
      </c>
      <c r="L66" s="167">
        <f t="shared" si="34"/>
        <v>2.16</v>
      </c>
      <c r="M66" s="129">
        <f t="shared" si="35"/>
        <v>0.432</v>
      </c>
      <c r="N66" s="130">
        <v>16</v>
      </c>
      <c r="O66" s="174">
        <f t="shared" si="36"/>
        <v>6.9119999999999999</v>
      </c>
      <c r="P66" s="260">
        <f t="shared" si="10"/>
        <v>76.031999999999996</v>
      </c>
      <c r="Q66" s="129"/>
      <c r="R66" s="479">
        <f t="shared" si="2"/>
        <v>872.64</v>
      </c>
      <c r="S66" s="787">
        <f>IFERROR(IF(OR('ЛАЙТ Рязань'!$T$7="Завод 'ТЕХНО' г.Рязань",'ЛАЙТ Рязань'!$T$7="Завод 'ТЕХНО' г.Заинск"),IF('ЛАЙТ Рязань'!$T$7="Завод 'ТЕХНО' г.Рязань",'ЛАЙТ Рязань'!R66*(1-'ЛАЙТ Рязань'!$V$5-'ЛАЙТ Рязань'!V66)+IFERROR(SEARCH("комп",J66)/SEARCH("комп",J66)*'ЛАЙТ Рязань'!$R$5,'ЛАЙТ Рязань'!S$5),'ЛАЙТ Заинск'!R66*(1-'ЛАЙТ Рязань'!$V$5-'ЛАЙТ Рязань'!V66)+IFERROR(SEARCH("комп",J66)/SEARCH("комп",J66)*'ЛАЙТ Рязань'!$R$5,'ЛАЙТ Рязань'!S$5)),'ЛАЙТ Юрга'!R66*(1-'ЛАЙТ Рязань'!$V$5-'ЛАЙТ Рязань'!V66)+IFERROR(SEARCH("комп",J66)/SEARCH("комп",J66)*'ЛАЙТ Рязань'!$R$5,'ЛАЙТ Рязань'!S$5)),"нет")</f>
        <v>2020</v>
      </c>
      <c r="T66" s="102">
        <f t="shared" si="3"/>
        <v>404</v>
      </c>
      <c r="U66" s="1228"/>
      <c r="V66" s="1229"/>
      <c r="W66" s="1228"/>
      <c r="X66" s="1235"/>
      <c r="Y66" s="1155"/>
      <c r="Z66" s="1156"/>
      <c r="AA66" s="1157"/>
      <c r="AB66" s="991"/>
      <c r="AC66" s="991"/>
      <c r="AD66" s="991"/>
      <c r="AE66" s="991"/>
      <c r="AF66" s="991"/>
      <c r="AG66" s="1022"/>
    </row>
    <row r="67" spans="1:40" ht="22.5" customHeight="1" thickBot="1" x14ac:dyDescent="0.3">
      <c r="A67" s="35" t="s">
        <v>446</v>
      </c>
      <c r="B67" s="249">
        <v>1200</v>
      </c>
      <c r="C67" s="287">
        <v>600</v>
      </c>
      <c r="D67" s="288">
        <v>50</v>
      </c>
      <c r="E67" s="253" t="s">
        <v>447</v>
      </c>
      <c r="F67" s="604" t="str">
        <f>IF(OR('ЛАЙТ Рязань'!$T$7="Завод 'ТЕХНО' г.Рязань",'ЛАЙТ Рязань'!$T$7="Завод 'ТЕХНО' г.Заинск"),'ЛАЙТ Рязань'!F67,'ЛАЙТ Юрга'!F67)</f>
        <v>Б</v>
      </c>
      <c r="G67" s="256">
        <v>222.22222222222223</v>
      </c>
      <c r="H67" s="259">
        <v>33.842321854017761</v>
      </c>
      <c r="I67" s="1178" t="str">
        <f>IF(OR('ЛАЙТ Рязань'!$T$7="Завод 'ТЕХНО' г.Рязань",'ЛАЙТ Рязань'!$T$7="Завод 'ТЕХНО' г.Заинск"),'ЛАЙТ Рязань'!G67,'ЛАЙТ Юрга'!G67)</f>
        <v xml:space="preserve"> </v>
      </c>
      <c r="J67" s="224">
        <v>709.1712</v>
      </c>
      <c r="K67" s="131">
        <v>12</v>
      </c>
      <c r="L67" s="168">
        <f t="shared" ref="L67:L70" si="53">B67*C67*K67/1000000</f>
        <v>8.64</v>
      </c>
      <c r="M67" s="132">
        <f t="shared" ref="M67:M70" si="54">L67*D67/1000</f>
        <v>0.432</v>
      </c>
      <c r="N67" s="133">
        <v>16</v>
      </c>
      <c r="O67" s="132">
        <f t="shared" ref="O67:O70" si="55">M67*N67</f>
        <v>6.9119999999999999</v>
      </c>
      <c r="P67" s="226">
        <f t="shared" si="10"/>
        <v>76.031999999999996</v>
      </c>
      <c r="Q67" s="132"/>
      <c r="R67" s="88">
        <f t="shared" si="2"/>
        <v>1025.136</v>
      </c>
      <c r="S67" s="786">
        <f>IFERROR(IF(OR('ЛАЙТ Рязань'!$T$7="Завод 'ТЕХНО' г.Рязань",'ЛАЙТ Рязань'!$T$7="Завод 'ТЕХНО' г.Заинск"),IF('ЛАЙТ Рязань'!$T$7="Завод 'ТЕХНО' г.Рязань",'ЛАЙТ Рязань'!R67*(1-'ЛАЙТ Рязань'!$V$5-'ЛАЙТ Рязань'!V67)+IFERROR(SEARCH("комп",J67)/SEARCH("комп",J67)*'ЛАЙТ Рязань'!$R$5,'ЛАЙТ Рязань'!O$5),'ЛАЙТ Заинск'!R67*(1-'ЛАЙТ Рязань'!$V$5-'ЛАЙТ Рязань'!V67)+IFERROR(SEARCH("комп",J67)/SEARCH("комп",J67)*'ЛАЙТ Рязань'!$R$5,'ЛАЙТ Рязань'!O$5)),'ЛАЙТ Юрга'!R67*(1-'ЛАЙТ Рязань'!$V$5-'ЛАЙТ Рязань'!V67)+IFERROR(SEARCH("комп",J67)/SEARCH("комп",J67)*'ЛАЙТ Рязань'!$R$5,'ЛАЙТ Рязань'!O$5)),"нет")</f>
        <v>2373</v>
      </c>
      <c r="T67" s="101">
        <f t="shared" si="3"/>
        <v>118.65</v>
      </c>
      <c r="U67" s="1228"/>
      <c r="V67" s="1229"/>
      <c r="W67" s="1228"/>
      <c r="X67" s="1235"/>
      <c r="Y67" s="1154"/>
      <c r="Z67" s="1156"/>
      <c r="AA67" s="1157"/>
      <c r="AB67" s="991"/>
      <c r="AC67" s="991"/>
      <c r="AD67" s="991"/>
      <c r="AE67" s="991"/>
      <c r="AF67" s="991"/>
      <c r="AG67" s="1022"/>
    </row>
    <row r="68" spans="1:40" ht="22.5" customHeight="1" thickBot="1" x14ac:dyDescent="0.3">
      <c r="A68" s="708"/>
      <c r="B68" s="203">
        <v>1200</v>
      </c>
      <c r="C68" s="204">
        <v>600</v>
      </c>
      <c r="D68" s="209">
        <v>50</v>
      </c>
      <c r="E68" s="254" t="s">
        <v>611</v>
      </c>
      <c r="F68" s="604" t="str">
        <f>IF(OR('ЛАЙТ Рязань'!$T$7="Завод 'ТЕХНО' г.Рязань",'ЛАЙТ Рязань'!$T$7="Завод 'ТЕХНО' г.Заинск"),'ЛАЙТ Рязань'!F69,'ЛАЙТ Юрга'!F68)</f>
        <v>Б</v>
      </c>
      <c r="G68" s="205">
        <v>222.22222222222223</v>
      </c>
      <c r="H68" s="124">
        <v>32.150205761316876</v>
      </c>
      <c r="I68" s="1179" t="str">
        <f>IF(OR('ЛАЙТ Рязань'!$T$7="Завод 'ТЕХНО' г.Рязань",'ЛАЙТ Рязань'!$T$7="Завод 'ТЕХНО' г.Заинск"),'ЛАЙТ Рязань'!G68,'ЛАЙТ Юрга'!G68)</f>
        <v xml:space="preserve"> </v>
      </c>
      <c r="J68" s="170">
        <v>746.49599999999998</v>
      </c>
      <c r="K68" s="125">
        <v>6</v>
      </c>
      <c r="L68" s="166">
        <f t="shared" ref="L68" si="56">B68*C68*K68/1000000</f>
        <v>4.32</v>
      </c>
      <c r="M68" s="126">
        <f t="shared" ref="M68" si="57">L68*D68/1000</f>
        <v>0.216</v>
      </c>
      <c r="N68" s="127">
        <v>32</v>
      </c>
      <c r="O68" s="172">
        <f t="shared" ref="O68" si="58">M68*N68</f>
        <v>6.9119999999999999</v>
      </c>
      <c r="P68" s="231">
        <f t="shared" ref="P68" si="59">O68*11</f>
        <v>76.031999999999996</v>
      </c>
      <c r="Q68" s="126"/>
      <c r="R68" s="88" t="str">
        <f t="shared" si="2"/>
        <v>---</v>
      </c>
      <c r="S68" s="786" t="str">
        <f>IFERROR(IF(OR('ЛАЙТ Рязань'!$T$7="Завод 'ТЕХНО' г.Рязань",'ЛАЙТ Рязань'!$T$7="Завод 'ТЕХНО' г.Заинск"),IF('ЛАЙТ Рязань'!$T$7="Завод 'ТЕХНО' г.Рязань",'ЛАЙТ Рязань'!R68*(1-'ЛАЙТ Рязань'!$V$5-'ЛАЙТ Рязань'!V68)+IFERROR(SEARCH("комп",J68)/SEARCH("комп",J68)*'ЛАЙТ Рязань'!$R$5,'ЛАЙТ Рязань'!O$5),'ЛАЙТ Заинск'!R68*(1-'ЛАЙТ Рязань'!$V$5-'ЛАЙТ Рязань'!V68)+IFERROR(SEARCH("комп",J68)/SEARCH("комп",J68)*'ЛАЙТ Рязань'!$R$5,'ЛАЙТ Рязань'!O$5)),'ЛАЙТ Юрга'!R68*(1-'ЛАЙТ Рязань'!$V$5-'ЛАЙТ Рязань'!V68)+IFERROR(SEARCH("комп",J68)/SEARCH("комп",J68)*'ЛАЙТ Рязань'!$R$5,'ЛАЙТ Рязань'!O$5)),"нет")</f>
        <v>нет</v>
      </c>
      <c r="T68" s="101" t="str">
        <f t="shared" si="3"/>
        <v>---</v>
      </c>
      <c r="U68" s="1228"/>
      <c r="V68" s="1229"/>
      <c r="W68" s="1228"/>
      <c r="X68" s="1235"/>
      <c r="Y68" s="1155"/>
      <c r="Z68" s="1156"/>
      <c r="AA68" s="1157"/>
      <c r="AB68" s="991"/>
      <c r="AC68" s="991"/>
      <c r="AD68" s="991"/>
      <c r="AE68" s="991"/>
      <c r="AF68" s="991"/>
      <c r="AG68" s="1022"/>
    </row>
    <row r="69" spans="1:40" ht="22.5" customHeight="1" thickBot="1" x14ac:dyDescent="0.3">
      <c r="A69" s="708"/>
      <c r="B69" s="203">
        <v>1200</v>
      </c>
      <c r="C69" s="204">
        <v>600</v>
      </c>
      <c r="D69" s="209">
        <v>50</v>
      </c>
      <c r="E69" s="254" t="s">
        <v>706</v>
      </c>
      <c r="F69" s="604" t="str">
        <f>IF(OR('ЛАЙТ Рязань'!$T$7="Завод 'ТЕХНО' г.Рязань",'ЛАЙТ Рязань'!$T$7="Завод 'ТЕХНО' г.Заинск"),'ЛАЙТ Рязань'!F69,'ЛАЙТ Юрга'!F69)</f>
        <v>Б</v>
      </c>
      <c r="G69" s="205">
        <v>222.22222222222223</v>
      </c>
      <c r="H69" s="124">
        <v>32.150205761316876</v>
      </c>
      <c r="I69" s="1179" t="str">
        <f>IF(OR('ЛАЙТ Рязань'!$T$7="Завод 'ТЕХНО' г.Рязань",'ЛАЙТ Рязань'!$T$7="Завод 'ТЕХНО' г.Заинск"),'ЛАЙТ Рязань'!G69,'ЛАЙТ Юрга'!G69)</f>
        <v xml:space="preserve"> </v>
      </c>
      <c r="J69" s="170">
        <v>746.49599999999998</v>
      </c>
      <c r="K69" s="125">
        <v>8</v>
      </c>
      <c r="L69" s="166">
        <f t="shared" ref="L69" si="60">B69*C69*K69/1000000</f>
        <v>5.76</v>
      </c>
      <c r="M69" s="126">
        <f t="shared" ref="M69" si="61">L69*D69/1000</f>
        <v>0.28799999999999998</v>
      </c>
      <c r="N69" s="127">
        <v>24</v>
      </c>
      <c r="O69" s="172">
        <f t="shared" ref="O69" si="62">M69*N69</f>
        <v>6.911999999999999</v>
      </c>
      <c r="P69" s="231">
        <f t="shared" ref="P69" si="63">O69*11</f>
        <v>76.031999999999982</v>
      </c>
      <c r="Q69" s="126"/>
      <c r="R69" s="88">
        <f t="shared" ref="R69" si="64">IFERROR(M69*S69,"---")</f>
        <v>683.42399999999998</v>
      </c>
      <c r="S69" s="786">
        <f>IFERROR(IF(OR('ЛАЙТ Рязань'!$T$7="Завод 'ТЕХНО' г.Рязань",'ЛАЙТ Рязань'!$T$7="Завод 'ТЕХНО' г.Заинск"),IF('ЛАЙТ Рязань'!$T$7="Завод 'ТЕХНО' г.Рязань",'ЛАЙТ Рязань'!R69*(1-'ЛАЙТ Рязань'!$V$5-'ЛАЙТ Рязань'!V69)+IFERROR(SEARCH("комп",J69)/SEARCH("комп",J69)*'ЛАЙТ Рязань'!$R$5,'ЛАЙТ Рязань'!O$5),'ЛАЙТ Заинск'!R69*(1-'ЛАЙТ Рязань'!$V$5-'ЛАЙТ Рязань'!V69)+IFERROR(SEARCH("комп",J69)/SEARCH("комп",J69)*'ЛАЙТ Рязань'!$R$5,'ЛАЙТ Рязань'!O$5)),'ЛАЙТ Юрга'!R69*(1-'ЛАЙТ Рязань'!$V$5-'ЛАЙТ Рязань'!V69)+IFERROR(SEARCH("комп",J69)/SEARCH("комп",J69)*'ЛАЙТ Рязань'!$R$5,'ЛАЙТ Рязань'!O$5)),"нет")</f>
        <v>2373</v>
      </c>
      <c r="T69" s="101">
        <f t="shared" ref="T69" si="65">IFERROR(S69*D69/1000,"---")</f>
        <v>118.65</v>
      </c>
      <c r="U69" s="1228"/>
      <c r="V69" s="1229"/>
      <c r="W69" s="1228"/>
      <c r="X69" s="1235"/>
      <c r="Y69" s="1155"/>
      <c r="Z69" s="1156"/>
      <c r="AA69" s="1157"/>
      <c r="AB69" s="991"/>
      <c r="AC69" s="991"/>
      <c r="AD69" s="991"/>
      <c r="AE69" s="991"/>
      <c r="AF69" s="991"/>
      <c r="AG69" s="1022"/>
    </row>
    <row r="70" spans="1:40" ht="22.5" customHeight="1" thickBot="1" x14ac:dyDescent="0.3">
      <c r="A70" s="890"/>
      <c r="B70" s="240">
        <v>1200</v>
      </c>
      <c r="C70" s="241">
        <v>600</v>
      </c>
      <c r="D70" s="242">
        <v>100</v>
      </c>
      <c r="E70" s="257" t="s">
        <v>448</v>
      </c>
      <c r="F70" s="605" t="str">
        <f>IF(OR('ЛАЙТ Рязань'!$T$7="Завод 'ТЕХНО' г.Рязань",'ЛАЙТ Рязань'!$T$7="Завод 'ТЕХНО' г.Заинск"),'ЛАЙТ Рязань'!F70,'ЛАЙТ Юрга'!F70)</f>
        <v>С</v>
      </c>
      <c r="G70" s="239">
        <v>222.22222222222223</v>
      </c>
      <c r="H70" s="258">
        <v>32.150205761316876</v>
      </c>
      <c r="I70" s="1180">
        <f>IF(OR('ЛАЙТ Рязань'!$T$7="Завод 'ТЕХНО' г.Рязань",'ЛАЙТ Рязань'!$T$7="Завод 'ТЕХНО' г.Заинск"),'ЛАЙТ Рязань'!G70,'ЛАЙТ Юрга'!G70)</f>
        <v>255.744</v>
      </c>
      <c r="J70" s="262">
        <v>746.49599999999998</v>
      </c>
      <c r="K70" s="128">
        <v>6</v>
      </c>
      <c r="L70" s="167">
        <f t="shared" si="53"/>
        <v>4.32</v>
      </c>
      <c r="M70" s="129">
        <f t="shared" si="54"/>
        <v>0.432</v>
      </c>
      <c r="N70" s="130">
        <v>16</v>
      </c>
      <c r="O70" s="174">
        <f t="shared" si="55"/>
        <v>6.9119999999999999</v>
      </c>
      <c r="P70" s="260">
        <f t="shared" si="10"/>
        <v>76.031999999999996</v>
      </c>
      <c r="Q70" s="129"/>
      <c r="R70" s="479">
        <f t="shared" ref="R70" si="66">IFERROR(M70*S70,"---")</f>
        <v>1025.136</v>
      </c>
      <c r="S70" s="787">
        <f>IFERROR(IF(OR('ЛАЙТ Рязань'!$T$7="Завод 'ТЕХНО' г.Рязань",'ЛАЙТ Рязань'!$T$7="Завод 'ТЕХНО' г.Заинск"),IF('ЛАЙТ Рязань'!$T$7="Завод 'ТЕХНО' г.Рязань",'ЛАЙТ Рязань'!R70*(1-'ЛАЙТ Рязань'!$V$5-'ЛАЙТ Рязань'!V70)+IFERROR(SEARCH("комп",J70)/SEARCH("комп",J70)*'ЛАЙТ Рязань'!$R$5,'ЛАЙТ Рязань'!O$5),'ЛАЙТ Заинск'!R70*(1-'ЛАЙТ Рязань'!$V$5-'ЛАЙТ Рязань'!V70)+IFERROR(SEARCH("комп",J70)/SEARCH("комп",J70)*'ЛАЙТ Рязань'!$R$5,'ЛАЙТ Рязань'!O$5)),'ЛАЙТ Юрга'!R70*(1-'ЛАЙТ Рязань'!$V$5-'ЛАЙТ Рязань'!V70)+IFERROR(SEARCH("комп",J70)/SEARCH("комп",J70)*'ЛАЙТ Рязань'!$R$5,'ЛАЙТ Рязань'!O$5)),"нет")</f>
        <v>2373</v>
      </c>
      <c r="T70" s="102">
        <f t="shared" ref="T70" si="67">IFERROR(S70*D70/1000,"---")</f>
        <v>237.3</v>
      </c>
      <c r="U70" s="1228"/>
      <c r="V70" s="1229"/>
      <c r="W70" s="1228"/>
      <c r="X70" s="1235"/>
      <c r="Y70" s="1155"/>
      <c r="Z70" s="1156"/>
      <c r="AA70" s="1157"/>
      <c r="AB70" s="991"/>
      <c r="AC70" s="991"/>
      <c r="AD70" s="991"/>
      <c r="AE70" s="991"/>
      <c r="AF70" s="991"/>
      <c r="AG70" s="1022"/>
    </row>
    <row r="71" spans="1:40" ht="20.100000000000001" customHeight="1" x14ac:dyDescent="0.25">
      <c r="A71" s="18"/>
      <c r="B71" s="134"/>
      <c r="C71" s="134"/>
      <c r="D71" s="134"/>
      <c r="E71" s="134"/>
      <c r="F71" s="134"/>
      <c r="G71" s="134"/>
      <c r="H71" s="134"/>
      <c r="I71" s="134"/>
      <c r="J71" s="165"/>
      <c r="K71" s="135"/>
      <c r="L71" s="134"/>
      <c r="M71" s="136"/>
      <c r="N71" s="135"/>
      <c r="O71" s="137"/>
      <c r="P71" s="134"/>
      <c r="Q71" s="261"/>
      <c r="R71" s="448"/>
      <c r="S71" s="448"/>
      <c r="T71" s="448"/>
      <c r="W71" s="448"/>
      <c r="Y71" s="448"/>
      <c r="Z71" s="448"/>
      <c r="AA71" s="448"/>
      <c r="AB71" s="448"/>
      <c r="AC71" s="448"/>
      <c r="AD71" s="448"/>
      <c r="AE71" s="448"/>
      <c r="AF71" s="448"/>
      <c r="AG71" s="1025"/>
    </row>
    <row r="72" spans="1:40" ht="18.75" customHeight="1" x14ac:dyDescent="0.25">
      <c r="A72" s="1" t="s">
        <v>7</v>
      </c>
      <c r="B72" s="91"/>
      <c r="C72" s="91"/>
      <c r="D72" s="91"/>
      <c r="E72" s="91"/>
      <c r="F72" s="91"/>
      <c r="G72" s="91"/>
      <c r="H72" s="91"/>
      <c r="I72" s="91"/>
      <c r="J72" s="91"/>
      <c r="K72" s="92"/>
      <c r="L72" s="91"/>
      <c r="M72" s="94"/>
      <c r="N72" s="92"/>
      <c r="O72" s="93"/>
      <c r="P72" s="1243"/>
      <c r="Q72" s="1243"/>
      <c r="R72" s="1243"/>
      <c r="S72" s="1243"/>
      <c r="T72" s="1243"/>
      <c r="W72" s="919"/>
      <c r="Y72" s="1079"/>
      <c r="Z72" s="1079"/>
      <c r="AA72" s="1079"/>
      <c r="AB72" s="1079"/>
      <c r="AC72" s="1079"/>
      <c r="AD72" s="1079"/>
      <c r="AE72" s="1079"/>
      <c r="AF72" s="919"/>
      <c r="AG72" s="1026"/>
    </row>
    <row r="73" spans="1:40" s="32" customFormat="1" ht="20.100000000000001" customHeight="1" x14ac:dyDescent="0.25">
      <c r="A73" s="471" t="s">
        <v>423</v>
      </c>
      <c r="K73" s="33"/>
      <c r="M73" s="34"/>
      <c r="N73" s="33"/>
      <c r="O73" s="59"/>
      <c r="P73" s="1244"/>
      <c r="Q73" s="1244"/>
      <c r="R73" s="1244"/>
      <c r="S73" s="1244"/>
      <c r="T73" s="1244"/>
      <c r="W73" s="920"/>
      <c r="Y73" s="1080"/>
      <c r="Z73" s="1080"/>
      <c r="AA73" s="1080"/>
      <c r="AB73" s="1080"/>
      <c r="AC73" s="1080"/>
      <c r="AD73" s="1080"/>
      <c r="AE73" s="1080"/>
      <c r="AF73" s="920"/>
      <c r="AG73" s="1027"/>
      <c r="AH73" s="953"/>
      <c r="AI73" s="745"/>
      <c r="AJ73" s="900"/>
      <c r="AK73" s="900"/>
      <c r="AL73" s="900"/>
      <c r="AM73" s="900"/>
      <c r="AN73" s="900"/>
    </row>
    <row r="74" spans="1:40" ht="20.100000000000001" customHeight="1" x14ac:dyDescent="0.25">
      <c r="A74" s="26" t="s">
        <v>438</v>
      </c>
      <c r="P74" s="1244"/>
      <c r="Q74" s="1244"/>
      <c r="R74" s="1244"/>
      <c r="S74" s="1244"/>
      <c r="T74" s="1244"/>
      <c r="W74" s="920"/>
      <c r="Y74" s="1080"/>
      <c r="Z74" s="1080"/>
      <c r="AA74" s="1080"/>
      <c r="AB74" s="1080"/>
      <c r="AC74" s="1080"/>
      <c r="AD74" s="1080"/>
      <c r="AE74" s="1080"/>
      <c r="AF74" s="920"/>
      <c r="AG74" s="1027"/>
    </row>
    <row r="75" spans="1:40" ht="20.100000000000001" customHeight="1" x14ac:dyDescent="0.25">
      <c r="A75" s="26" t="s">
        <v>24</v>
      </c>
      <c r="P75" s="1245"/>
      <c r="Q75" s="1245"/>
      <c r="R75" s="1245"/>
      <c r="S75" s="1245"/>
      <c r="T75" s="1245"/>
      <c r="W75" s="921"/>
      <c r="Y75" s="1081"/>
      <c r="Z75" s="1081"/>
      <c r="AA75" s="1081"/>
      <c r="AB75" s="1081"/>
      <c r="AC75" s="1081"/>
      <c r="AD75" s="1081"/>
      <c r="AE75" s="1081"/>
      <c r="AF75" s="921"/>
      <c r="AG75" s="1028"/>
    </row>
    <row r="76" spans="1:40" ht="20.100000000000001" customHeight="1" x14ac:dyDescent="0.25">
      <c r="A76" s="26" t="s">
        <v>52</v>
      </c>
      <c r="R76" s="1245"/>
      <c r="S76" s="1245"/>
      <c r="T76" s="1245"/>
      <c r="W76" s="921"/>
      <c r="Y76" s="1081"/>
      <c r="Z76" s="1081"/>
      <c r="AA76" s="1081"/>
      <c r="AB76" s="1081"/>
      <c r="AC76" s="1081"/>
      <c r="AD76" s="1081"/>
      <c r="AE76" s="1081"/>
      <c r="AF76" s="921"/>
      <c r="AG76" s="1028"/>
    </row>
    <row r="77" spans="1:40" ht="20.100000000000001" customHeight="1" x14ac:dyDescent="0.25">
      <c r="A77" s="30" t="s">
        <v>541</v>
      </c>
      <c r="G77" s="4"/>
      <c r="J77" s="5"/>
      <c r="L77" s="56"/>
    </row>
    <row r="78" spans="1:40" ht="20.100000000000001" customHeight="1" x14ac:dyDescent="0.25">
      <c r="A78" s="30" t="str">
        <f>IF('ЛАЙТ Рязань'!$T$7="Завод 'ТЕХНО' г.Юрга",'ЛАЙТ Юрга'!A78,'ЛАЙТ Рязань'!A78)</f>
        <v>Б - отгрузка в течение 3 дней (заявки принимаются в любом количестве, кратно пачке).</v>
      </c>
      <c r="G78" s="4"/>
      <c r="J78" s="5"/>
      <c r="L78" s="56"/>
    </row>
    <row r="79" spans="1:40" ht="20.100000000000001" customHeight="1" x14ac:dyDescent="0.25">
      <c r="A79" s="30" t="str">
        <f>IF('ЛАЙТ Рязань'!$T$7="Завод 'ТЕХНО' г.Юрга",'ЛАЙТ Юрга'!A79,'ЛАЙТ Рязань'!A79)</f>
        <v>Категория "С" - это товары "под заказ", и сроки индивидуально оговариваются с клиентом (заявки принимаются в объеме не менее 10 тонн, кратно поддону)</v>
      </c>
      <c r="G79" s="4"/>
      <c r="J79" s="5"/>
      <c r="L79" s="56"/>
    </row>
    <row r="80" spans="1:40" ht="20.100000000000001" customHeight="1" x14ac:dyDescent="0.25">
      <c r="A80" s="30"/>
      <c r="G80" s="4"/>
      <c r="J80" s="5"/>
      <c r="L80" s="56"/>
    </row>
    <row r="81" spans="1:33" ht="20.100000000000001" customHeight="1" x14ac:dyDescent="0.25">
      <c r="A81" s="31"/>
    </row>
    <row r="82" spans="1:33" ht="20.100000000000001" customHeight="1" x14ac:dyDescent="0.25"/>
    <row r="83" spans="1:33" ht="19.5" customHeight="1" x14ac:dyDescent="0.25">
      <c r="A83" s="2"/>
    </row>
    <row r="84" spans="1:33" ht="20.100000000000001" customHeight="1" x14ac:dyDescent="0.25">
      <c r="A84" s="2"/>
    </row>
    <row r="85" spans="1:33" ht="20.100000000000001" customHeight="1" x14ac:dyDescent="0.25">
      <c r="A85" s="2"/>
      <c r="C85" s="19"/>
      <c r="D85" s="20"/>
      <c r="E85" s="20"/>
      <c r="F85" s="20"/>
      <c r="G85" s="20"/>
      <c r="H85" s="20"/>
      <c r="I85" s="20"/>
      <c r="J85" s="20"/>
      <c r="K85" s="21"/>
      <c r="L85" s="20"/>
      <c r="M85" s="22"/>
      <c r="N85" s="69"/>
      <c r="O85" s="60"/>
      <c r="P85" s="20"/>
      <c r="Q85" s="22"/>
      <c r="R85" s="22"/>
      <c r="S85" s="22"/>
      <c r="T85" s="22"/>
      <c r="W85" s="22"/>
      <c r="Y85" s="22"/>
      <c r="Z85" s="22"/>
      <c r="AA85" s="22"/>
      <c r="AB85" s="22"/>
      <c r="AC85" s="22"/>
      <c r="AD85" s="22"/>
      <c r="AE85" s="22"/>
      <c r="AF85" s="22"/>
      <c r="AG85" s="1030"/>
    </row>
    <row r="86" spans="1:33" ht="20.100000000000001" customHeight="1" x14ac:dyDescent="0.25">
      <c r="C86" s="23"/>
      <c r="D86" s="20"/>
      <c r="E86" s="20"/>
      <c r="F86" s="20"/>
      <c r="G86" s="20"/>
      <c r="H86" s="20"/>
      <c r="I86" s="20"/>
      <c r="J86" s="20"/>
      <c r="K86" s="21"/>
      <c r="L86" s="20"/>
      <c r="M86" s="24"/>
      <c r="N86" s="70"/>
      <c r="O86" s="60"/>
      <c r="P86" s="20"/>
      <c r="Q86" s="24"/>
      <c r="R86" s="24"/>
      <c r="S86" s="24"/>
      <c r="T86" s="24"/>
      <c r="W86" s="24"/>
      <c r="Y86" s="24"/>
      <c r="Z86" s="24"/>
      <c r="AA86" s="24"/>
      <c r="AB86" s="24"/>
      <c r="AC86" s="24"/>
      <c r="AD86" s="24"/>
      <c r="AE86" s="24"/>
      <c r="AF86" s="24"/>
      <c r="AG86" s="1031"/>
    </row>
    <row r="87" spans="1:33" ht="20.100000000000001" customHeight="1" x14ac:dyDescent="0.25">
      <c r="C87" s="23"/>
      <c r="D87" s="20"/>
      <c r="E87" s="20"/>
      <c r="F87" s="20"/>
      <c r="G87" s="20"/>
      <c r="H87" s="20"/>
      <c r="I87" s="20"/>
      <c r="J87" s="20"/>
      <c r="K87" s="21"/>
      <c r="L87" s="20"/>
      <c r="M87" s="24"/>
      <c r="N87" s="70"/>
      <c r="O87" s="60"/>
      <c r="P87" s="20"/>
      <c r="Q87" s="24"/>
      <c r="R87" s="24"/>
      <c r="S87" s="24"/>
      <c r="T87" s="24"/>
      <c r="W87" s="24"/>
      <c r="Y87" s="24"/>
      <c r="Z87" s="24"/>
      <c r="AA87" s="24"/>
      <c r="AB87" s="24"/>
      <c r="AC87" s="24"/>
      <c r="AD87" s="24"/>
      <c r="AE87" s="24"/>
      <c r="AF87" s="24"/>
      <c r="AG87" s="1031"/>
    </row>
    <row r="89" spans="1:33" x14ac:dyDescent="0.25">
      <c r="B89" s="25"/>
    </row>
  </sheetData>
  <sheetProtection selectLockedCells="1" selectUnlockedCells="1"/>
  <protectedRanges>
    <protectedRange sqref="A1:T4 W1:W4 Y1:AG4" name="Диапазон1"/>
  </protectedRanges>
  <mergeCells count="22">
    <mergeCell ref="B3:N3"/>
    <mergeCell ref="R76:T76"/>
    <mergeCell ref="N6:O6"/>
    <mergeCell ref="P6:Q6"/>
    <mergeCell ref="R6:T6"/>
    <mergeCell ref="P72:T72"/>
    <mergeCell ref="P75:T75"/>
    <mergeCell ref="P73:T73"/>
    <mergeCell ref="P74:T74"/>
    <mergeCell ref="F6:F7"/>
    <mergeCell ref="I6:I7"/>
    <mergeCell ref="J6:J7"/>
    <mergeCell ref="K6:M6"/>
    <mergeCell ref="A13:A15"/>
    <mergeCell ref="A16:A31"/>
    <mergeCell ref="A33:A47"/>
    <mergeCell ref="G6:G7"/>
    <mergeCell ref="A6:A7"/>
    <mergeCell ref="B6:B7"/>
    <mergeCell ref="C6:C7"/>
    <mergeCell ref="D6:D7"/>
    <mergeCell ref="E6:E7"/>
  </mergeCells>
  <phoneticPr fontId="65" type="noConversion"/>
  <printOptions horizontalCentered="1"/>
  <pageMargins left="0.19685039370078741" right="0.19685039370078741" top="0.39370078740157483" bottom="0" header="0" footer="0"/>
  <pageSetup paperSize="9" scale="42" orientation="portrait" verticalDpi="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8915" r:id="rId4" name="Drop Down 3">
              <controlPr defaultSize="0" autoLine="0" autoPict="0">
                <anchor moveWithCells="1">
                  <from>
                    <xdr:col>14</xdr:col>
                    <xdr:colOff>428625</xdr:colOff>
                    <xdr:row>1</xdr:row>
                    <xdr:rowOff>161925</xdr:rowOff>
                  </from>
                  <to>
                    <xdr:col>17</xdr:col>
                    <xdr:colOff>571500</xdr:colOff>
                    <xdr:row>2</xdr:row>
                    <xdr:rowOff>190500</xdr:rowOff>
                  </to>
                </anchor>
              </controlPr>
            </control>
          </mc:Choice>
        </mc:AlternateContent>
        <mc:AlternateContent xmlns:mc="http://schemas.openxmlformats.org/markup-compatibility/2006">
          <mc:Choice Requires="x14">
            <control shapeId="38916" r:id="rId5" name="Drop Down 4">
              <controlPr defaultSize="0" autoLine="0" autoPict="0">
                <anchor moveWithCells="1">
                  <from>
                    <xdr:col>14</xdr:col>
                    <xdr:colOff>400050</xdr:colOff>
                    <xdr:row>2</xdr:row>
                    <xdr:rowOff>419100</xdr:rowOff>
                  </from>
                  <to>
                    <xdr:col>15</xdr:col>
                    <xdr:colOff>609600</xdr:colOff>
                    <xdr:row>2</xdr:row>
                    <xdr:rowOff>781050</xdr:rowOff>
                  </to>
                </anchor>
              </controlPr>
            </control>
          </mc:Choice>
        </mc:AlternateContent>
        <mc:AlternateContent xmlns:mc="http://schemas.openxmlformats.org/markup-compatibility/2006">
          <mc:Choice Requires="x14">
            <control shapeId="38930" r:id="rId6" name="Drop Down 18">
              <controlPr defaultSize="0" autoLine="0" autoPict="0">
                <anchor moveWithCells="1">
                  <from>
                    <xdr:col>16</xdr:col>
                    <xdr:colOff>190500</xdr:colOff>
                    <xdr:row>2</xdr:row>
                    <xdr:rowOff>419100</xdr:rowOff>
                  </from>
                  <to>
                    <xdr:col>17</xdr:col>
                    <xdr:colOff>552450</xdr:colOff>
                    <xdr:row>2</xdr:row>
                    <xdr:rowOff>781050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2">
    <tabColor rgb="FFFF0000"/>
    <pageSetUpPr fitToPage="1"/>
  </sheetPr>
  <dimension ref="A1:AG113"/>
  <sheetViews>
    <sheetView showGridLines="0" view="pageBreakPreview" zoomScale="70" zoomScaleNormal="100" zoomScaleSheetLayoutView="70" workbookViewId="0">
      <pane xSplit="1" ySplit="7" topLeftCell="B8" activePane="bottomRight" state="frozen"/>
      <selection sqref="A1:IV65536"/>
      <selection pane="topRight" sqref="A1:IV65536"/>
      <selection pane="bottomLeft" sqref="A1:IV65536"/>
      <selection pane="bottomRight" activeCell="A4" sqref="A4"/>
    </sheetView>
  </sheetViews>
  <sheetFormatPr defaultColWidth="11.42578125" defaultRowHeight="18" x14ac:dyDescent="0.25"/>
  <cols>
    <col min="1" max="1" width="38.7109375" style="3" customWidth="1"/>
    <col min="2" max="4" width="9.7109375" style="2" customWidth="1"/>
    <col min="5" max="6" width="11.140625" style="71" hidden="1" customWidth="1"/>
    <col min="7" max="7" width="18.140625" style="71" customWidth="1"/>
    <col min="8" max="8" width="6.85546875" style="71" customWidth="1"/>
    <col min="9" max="9" width="12.28515625" style="71" customWidth="1"/>
    <col min="10" max="10" width="11.140625" style="71" hidden="1" customWidth="1"/>
    <col min="11" max="11" width="9.28515625" style="4" customWidth="1"/>
    <col min="12" max="12" width="11.5703125" style="2" customWidth="1"/>
    <col min="13" max="13" width="11.5703125" style="5" customWidth="1"/>
    <col min="14" max="14" width="11.5703125" style="4" customWidth="1"/>
    <col min="15" max="15" width="13.85546875" style="56" customWidth="1"/>
    <col min="16" max="16" width="11.5703125" style="2" customWidth="1"/>
    <col min="17" max="17" width="11.5703125" style="5" customWidth="1"/>
    <col min="18" max="18" width="14.140625" style="2" customWidth="1"/>
    <col min="19" max="19" width="15.5703125" style="2" customWidth="1"/>
    <col min="20" max="20" width="16" style="2" customWidth="1"/>
    <col min="22" max="22" width="14.7109375" customWidth="1"/>
    <col min="23" max="23" width="14.140625" customWidth="1"/>
    <col min="24" max="29" width="16" style="2" customWidth="1"/>
    <col min="30" max="30" width="16" style="745" customWidth="1"/>
    <col min="31" max="31" width="15.85546875" style="1032" customWidth="1"/>
    <col min="32" max="33" width="11.42578125" customWidth="1"/>
    <col min="34" max="36" width="11.42578125" style="2" customWidth="1"/>
    <col min="37" max="16384" width="11.42578125" style="2"/>
  </cols>
  <sheetData>
    <row r="1" spans="1:33" ht="26.25" x14ac:dyDescent="0.4">
      <c r="A1" s="75" t="s">
        <v>19</v>
      </c>
      <c r="O1" s="137"/>
      <c r="P1" s="134"/>
      <c r="Q1" s="261"/>
      <c r="R1" s="134"/>
      <c r="S1" s="134"/>
      <c r="T1" s="134"/>
    </row>
    <row r="2" spans="1:33" s="27" customFormat="1" ht="26.25" x14ac:dyDescent="0.4">
      <c r="A2" s="75" t="s">
        <v>20</v>
      </c>
      <c r="E2" s="72"/>
      <c r="F2" s="72"/>
      <c r="G2" s="72"/>
      <c r="H2" s="72"/>
      <c r="I2" s="72"/>
      <c r="J2" s="72"/>
      <c r="K2" s="28"/>
      <c r="M2" s="29"/>
      <c r="N2" s="28"/>
      <c r="O2" s="557"/>
      <c r="P2" s="558"/>
      <c r="Q2" s="559"/>
      <c r="R2" s="558"/>
      <c r="S2" s="1134"/>
      <c r="T2" s="1134"/>
      <c r="AD2" s="1014"/>
      <c r="AE2" s="1016"/>
    </row>
    <row r="3" spans="1:33" s="27" customFormat="1" ht="82.5" customHeight="1" x14ac:dyDescent="0.35">
      <c r="A3" s="791" t="str">
        <f>INDEX('Доставка по областям'!$A$2:$A$90,'ЛАЙТ Рязань'!Q5)</f>
        <v>Рязанская область</v>
      </c>
      <c r="B3" s="1373" t="str">
        <f>IFERROR(VLOOKUP(A3,'Доставка по областям'!$A$92:$B$104,2,0)," ")</f>
        <v xml:space="preserve"> </v>
      </c>
      <c r="C3" s="1373"/>
      <c r="D3" s="1373"/>
      <c r="E3" s="1373"/>
      <c r="F3" s="1373"/>
      <c r="G3" s="1373"/>
      <c r="H3" s="1373"/>
      <c r="I3" s="1373"/>
      <c r="J3" s="1373"/>
      <c r="K3" s="1373"/>
      <c r="L3" s="1373"/>
      <c r="M3" s="1373"/>
      <c r="N3" s="1373"/>
      <c r="O3" s="557"/>
      <c r="P3" s="558"/>
      <c r="Q3" s="559"/>
      <c r="R3" s="558"/>
      <c r="S3" s="1134"/>
      <c r="T3" s="1134"/>
      <c r="AD3" s="1014"/>
      <c r="AE3" s="1016"/>
    </row>
    <row r="4" spans="1:33" x14ac:dyDescent="0.25">
      <c r="A4" s="1128"/>
      <c r="B4" s="1129"/>
      <c r="C4" s="1129"/>
      <c r="D4" s="1129"/>
      <c r="E4" s="1129"/>
      <c r="F4" s="1129"/>
      <c r="G4" s="1129"/>
      <c r="H4" s="1129"/>
      <c r="I4" s="1129"/>
      <c r="J4" s="1129"/>
      <c r="K4" s="1129"/>
      <c r="L4" s="1129"/>
      <c r="M4" s="1129"/>
      <c r="N4" s="1129"/>
      <c r="O4" s="1129"/>
      <c r="P4" s="1129"/>
      <c r="Q4" s="1129"/>
      <c r="R4" s="1129"/>
      <c r="S4" s="1129"/>
      <c r="T4" s="1129"/>
      <c r="X4" s="783"/>
      <c r="Y4" s="783"/>
      <c r="Z4" s="783"/>
      <c r="AA4" s="783"/>
      <c r="AB4" s="783"/>
      <c r="AC4" s="783"/>
      <c r="AD4" s="1033"/>
      <c r="AE4" s="953"/>
      <c r="AF4" s="2"/>
      <c r="AG4" s="2"/>
    </row>
    <row r="5" spans="1:33" ht="18.75" thickBot="1" x14ac:dyDescent="0.3">
      <c r="A5" s="1130">
        <f>'Лайт+АКУСТИК DDP'!A5</f>
        <v>0</v>
      </c>
      <c r="B5" s="1131"/>
      <c r="C5" s="1131"/>
      <c r="D5" s="1131"/>
      <c r="E5" s="1131"/>
      <c r="F5" s="1131"/>
      <c r="G5" s="1131"/>
      <c r="H5" s="1131"/>
      <c r="I5" s="1131"/>
      <c r="J5" s="1131"/>
      <c r="K5" s="1131"/>
      <c r="L5" s="1131"/>
      <c r="M5" s="1131"/>
      <c r="N5" s="1132"/>
      <c r="O5" s="1133"/>
      <c r="P5" s="1131"/>
      <c r="Q5" s="1131"/>
      <c r="R5" s="1131"/>
      <c r="S5" s="1131"/>
      <c r="T5" s="1131"/>
      <c r="X5" s="552"/>
      <c r="Y5" s="552"/>
      <c r="Z5" s="552"/>
      <c r="AA5" s="552"/>
      <c r="AB5" s="552"/>
      <c r="AC5" s="552"/>
      <c r="AD5" s="1018"/>
      <c r="AE5" s="953"/>
      <c r="AF5" s="2"/>
      <c r="AG5" s="2"/>
    </row>
    <row r="6" spans="1:33" ht="72.75" customHeight="1" thickBot="1" x14ac:dyDescent="0.4">
      <c r="A6" s="1250" t="s">
        <v>0</v>
      </c>
      <c r="B6" s="1252" t="s">
        <v>1</v>
      </c>
      <c r="C6" s="1254" t="s">
        <v>2</v>
      </c>
      <c r="D6" s="1256" t="s">
        <v>3</v>
      </c>
      <c r="E6" s="1260" t="s">
        <v>56</v>
      </c>
      <c r="F6" s="109"/>
      <c r="G6" s="1260" t="s">
        <v>133</v>
      </c>
      <c r="H6" s="1260" t="s">
        <v>36</v>
      </c>
      <c r="I6" s="1260" t="s">
        <v>582</v>
      </c>
      <c r="J6" s="1260" t="s">
        <v>56</v>
      </c>
      <c r="K6" s="1276" t="s">
        <v>49</v>
      </c>
      <c r="L6" s="1277"/>
      <c r="M6" s="1278"/>
      <c r="N6" s="1273" t="s">
        <v>48</v>
      </c>
      <c r="O6" s="1274"/>
      <c r="P6" s="1265" t="s">
        <v>44</v>
      </c>
      <c r="Q6" s="1266"/>
      <c r="R6" s="1264" t="s">
        <v>760</v>
      </c>
      <c r="S6" s="1265"/>
      <c r="T6" s="1266"/>
      <c r="X6" s="27"/>
      <c r="Y6" s="27"/>
      <c r="Z6" s="989"/>
      <c r="AA6" s="989"/>
      <c r="AB6" s="989"/>
      <c r="AC6" s="989"/>
      <c r="AD6" s="1020"/>
    </row>
    <row r="7" spans="1:33" ht="67.5" customHeight="1" thickBot="1" x14ac:dyDescent="0.3">
      <c r="A7" s="1251"/>
      <c r="B7" s="1253"/>
      <c r="C7" s="1255"/>
      <c r="D7" s="1257"/>
      <c r="E7" s="1262"/>
      <c r="F7" s="110"/>
      <c r="G7" s="1263"/>
      <c r="H7" s="1263"/>
      <c r="I7" s="1263"/>
      <c r="J7" s="1262"/>
      <c r="K7" s="472" t="s">
        <v>5</v>
      </c>
      <c r="L7" s="473" t="s">
        <v>17</v>
      </c>
      <c r="M7" s="474" t="s">
        <v>18</v>
      </c>
      <c r="N7" s="475" t="s">
        <v>47</v>
      </c>
      <c r="O7" s="476" t="s">
        <v>18</v>
      </c>
      <c r="P7" s="477" t="s">
        <v>43</v>
      </c>
      <c r="Q7" s="478" t="s">
        <v>42</v>
      </c>
      <c r="R7" s="458" t="s">
        <v>6</v>
      </c>
      <c r="S7" s="54" t="s">
        <v>18</v>
      </c>
      <c r="T7" s="41" t="s">
        <v>22</v>
      </c>
      <c r="U7" s="1225"/>
      <c r="V7" s="1151"/>
      <c r="W7" s="1240"/>
      <c r="X7" s="1150"/>
      <c r="Y7" s="1151"/>
      <c r="Z7" s="1151"/>
      <c r="AA7" s="1152"/>
      <c r="AB7" s="990"/>
      <c r="AC7" s="990"/>
      <c r="AD7" s="1021"/>
      <c r="AE7" s="1019"/>
      <c r="AF7" s="553"/>
    </row>
    <row r="8" spans="1:33" ht="20.100000000000001" customHeight="1" thickBot="1" x14ac:dyDescent="0.3">
      <c r="A8" s="35" t="s">
        <v>10</v>
      </c>
      <c r="B8" s="252">
        <v>1200</v>
      </c>
      <c r="C8" s="250">
        <v>600</v>
      </c>
      <c r="D8" s="251">
        <v>50</v>
      </c>
      <c r="E8" s="278"/>
      <c r="F8" s="278"/>
      <c r="G8" s="326" t="s">
        <v>134</v>
      </c>
      <c r="H8" s="604" t="str">
        <f>IF(OR('ФАСАД Рязань'!$T$6="Завод 'ТЕХНО' г.Рязань",'ФАСАД Рязань'!$T$6="Завод 'ТЕХНО' г.Заинск"),'ФАСАД Рязань'!E8,'ФАСАД Юрга'!E8)</f>
        <v>Б</v>
      </c>
      <c r="I8" s="604" t="str">
        <f>IF(OR('ФАСАД Рязань'!$T$6="Завод 'ТЕХНО' г.Рязань",'ФАСАД Рязань'!$T$6="Завод 'ТЕХНО' г.Заинск"),'ФАСАД Рязань'!I8,'ФАСАД Юрга'!I8)</f>
        <v xml:space="preserve"> </v>
      </c>
      <c r="J8" s="176"/>
      <c r="K8" s="311">
        <v>6</v>
      </c>
      <c r="L8" s="323">
        <f>B8*C8*K8/1000000</f>
        <v>4.32</v>
      </c>
      <c r="M8" s="327">
        <f>D8*L8/1000</f>
        <v>0.216</v>
      </c>
      <c r="N8" s="281">
        <v>32</v>
      </c>
      <c r="O8" s="283">
        <f>N8*M8</f>
        <v>6.9119999999999999</v>
      </c>
      <c r="P8" s="229">
        <f>O8*11</f>
        <v>76.031999999999996</v>
      </c>
      <c r="Q8" s="321"/>
      <c r="R8" s="88">
        <f>IFERROR(M8*S8,"---")</f>
        <v>769.60799999999995</v>
      </c>
      <c r="S8" s="786">
        <f>IFERROR(IF(OR('ФАСАД Рязань'!$T$6="Завод 'ТЕХНО' г.Рязань",'ФАСАД Рязань'!$T$6="Завод 'ТЕХНО' г.Заинск"),IF('ФАСАД Рязань'!$T$6="Завод 'ТЕХНО' г.Рязань",'ФАСАД Рязань'!R8*(1-'ФАСАД Рязань'!$V$5-'ФАСАД Рязань'!V8)+IFERROR(SEARCH("комп",J8)/SEARCH("комп",J8)*'ФАСАД Рязань'!$R$5,'ФАСАД Рязань'!S$5),'ФАСАД Заинск'!R8*(1-'ФАСАД Рязань'!$V$5-'ФАСАД Рязань'!V8)+IFERROR(SEARCH("комп",J8)/SEARCH("комп",J8)*'ФАСАД Рязань'!$R$5,'ФАСАД Рязань'!S$5)),'ФАСАД Юрга'!R8*(1-'ФАСАД Рязань'!$V$5-'ФАСАД Рязань'!V8)+IFERROR(SEARCH("комп",J8)/SEARCH("комп",J8)*'ФАСАД Рязань'!$R$5,'ФАСАД Рязань'!S$5)),"нет")</f>
        <v>3563</v>
      </c>
      <c r="T8" s="101">
        <f>IFERROR(S8*D8/1000,"---")</f>
        <v>178.15</v>
      </c>
      <c r="U8" s="1221"/>
      <c r="V8" s="1229"/>
      <c r="W8" s="1221"/>
      <c r="X8" s="1154"/>
      <c r="Y8" s="1155"/>
      <c r="Z8" s="1156"/>
      <c r="AA8" s="1157"/>
      <c r="AB8" s="991"/>
      <c r="AC8" s="991"/>
      <c r="AD8" s="1022"/>
      <c r="AE8" s="746"/>
      <c r="AF8" s="82"/>
      <c r="AG8" s="2"/>
    </row>
    <row r="9" spans="1:33" ht="20.100000000000001" customHeight="1" thickBot="1" x14ac:dyDescent="0.3">
      <c r="A9" s="1246" t="s">
        <v>27</v>
      </c>
      <c r="B9" s="203">
        <v>1200</v>
      </c>
      <c r="C9" s="204">
        <v>600</v>
      </c>
      <c r="D9" s="209">
        <v>60</v>
      </c>
      <c r="E9" s="263">
        <v>125</v>
      </c>
      <c r="F9" s="263">
        <v>18.08449074074074</v>
      </c>
      <c r="G9" s="264" t="s">
        <v>135</v>
      </c>
      <c r="H9" s="604" t="str">
        <f>IF(OR('ФАСАД Рязань'!$T$6="Завод 'ТЕХНО' г.Рязань",'ФАСАД Рязань'!$T$6="Завод 'ТЕХНО' г.Заинск"),'ФАСАД Рязань'!E9,'ФАСАД Юрга'!E9)</f>
        <v>C</v>
      </c>
      <c r="I9" s="1181">
        <f>IF(OR('ФАСАД Рязань'!$T$6="Завод 'ТЕХНО' г.Рязань",'ФАСАД Рязань'!$T$6="Завод 'ТЕХНО' г.Заинск"),'ФАСАД Рязань'!I9,'ФАСАД Юрга'!I9)</f>
        <v>131.328</v>
      </c>
      <c r="J9" s="177">
        <v>393.98400000000004</v>
      </c>
      <c r="K9" s="97">
        <v>5</v>
      </c>
      <c r="L9" s="166">
        <f>B9*C9*K9/1000000</f>
        <v>3.6</v>
      </c>
      <c r="M9" s="169">
        <f>D9*L9/1000</f>
        <v>0.216</v>
      </c>
      <c r="N9" s="97">
        <v>32</v>
      </c>
      <c r="O9" s="126">
        <f t="shared" ref="O9" si="0">N9*M9</f>
        <v>6.9119999999999999</v>
      </c>
      <c r="P9" s="231">
        <f>O9*11</f>
        <v>76.031999999999996</v>
      </c>
      <c r="Q9" s="266"/>
      <c r="R9" s="88">
        <f t="shared" ref="R9:R67" si="1">IFERROR(M9*S9,"---")</f>
        <v>769.60799999999995</v>
      </c>
      <c r="S9" s="786">
        <f>IFERROR(IF(OR('ФАСАД Рязань'!$T$6="Завод 'ТЕХНО' г.Рязань",'ФАСАД Рязань'!$T$6="Завод 'ТЕХНО' г.Заинск"),IF('ФАСАД Рязань'!$T$6="Завод 'ТЕХНО' г.Рязань",'ФАСАД Рязань'!R9*(1-'ФАСАД Рязань'!$V$5-'ФАСАД Рязань'!V9)+IFERROR(SEARCH("комп",J9)/SEARCH("комп",J9)*'ФАСАД Рязань'!$R$5,'ФАСАД Рязань'!S$5),'ФАСАД Заинск'!R9*(1-'ФАСАД Рязань'!$V$5-'ФАСАД Рязань'!V9)+IFERROR(SEARCH("комп",J9)/SEARCH("комп",J9)*'ФАСАД Рязань'!$R$5,'ФАСАД Рязань'!S$5)),'ФАСАД Юрга'!R9*(1-'ФАСАД Рязань'!$V$5-'ФАСАД Рязань'!V9)+IFERROR(SEARCH("комп",J9)/SEARCH("комп",J9)*'ФАСАД Рязань'!$R$5,'ФАСАД Рязань'!S$5)),"нет")</f>
        <v>3563</v>
      </c>
      <c r="T9" s="101">
        <f t="shared" ref="T9:T67" si="2">IFERROR(S9*D9/1000,"---")</f>
        <v>213.78</v>
      </c>
      <c r="U9" s="1221"/>
      <c r="V9" s="1229"/>
      <c r="W9" s="1221"/>
      <c r="X9" s="1154"/>
      <c r="Y9" s="1155"/>
      <c r="Z9" s="1156"/>
      <c r="AA9" s="1157"/>
      <c r="AB9" s="991"/>
      <c r="AC9" s="991"/>
      <c r="AD9" s="1022"/>
      <c r="AE9" s="746"/>
      <c r="AF9" s="82"/>
      <c r="AG9" s="2"/>
    </row>
    <row r="10" spans="1:33" ht="20.100000000000001" customHeight="1" thickBot="1" x14ac:dyDescent="0.3">
      <c r="A10" s="1246"/>
      <c r="B10" s="203">
        <v>1200</v>
      </c>
      <c r="C10" s="204">
        <v>600</v>
      </c>
      <c r="D10" s="209">
        <v>70</v>
      </c>
      <c r="E10" s="263">
        <v>125</v>
      </c>
      <c r="F10" s="263">
        <v>19.376240079365079</v>
      </c>
      <c r="G10" s="264" t="s">
        <v>136</v>
      </c>
      <c r="H10" s="604" t="str">
        <f>IF(OR('ФАСАД Рязань'!$T$6="Завод 'ТЕХНО' г.Рязань",'ФАСАД Рязань'!$T$6="Завод 'ТЕХНО' г.Заинск"),'ФАСАД Рязань'!E10,'ФАСАД Юрга'!E10)</f>
        <v>C</v>
      </c>
      <c r="I10" s="1181">
        <f>IF(OR('ФАСАД Рязань'!$T$6="Завод 'ТЕХНО' г.Рязань",'ФАСАД Рязань'!$T$6="Завод 'ТЕХНО' г.Заинск"),'ФАСАД Рязань'!I10,'ФАСАД Юрга'!I10)</f>
        <v>129.024</v>
      </c>
      <c r="J10" s="177">
        <v>387.072</v>
      </c>
      <c r="K10" s="97">
        <v>4</v>
      </c>
      <c r="L10" s="166">
        <f t="shared" ref="L10:L27" si="3">B10*C10*K10/1000000</f>
        <v>2.88</v>
      </c>
      <c r="M10" s="169">
        <f t="shared" ref="M10:M27" si="4">D10*L10/1000</f>
        <v>0.2016</v>
      </c>
      <c r="N10" s="97">
        <v>32</v>
      </c>
      <c r="O10" s="126">
        <f t="shared" ref="O10:O68" si="5">N10*M10</f>
        <v>6.4512</v>
      </c>
      <c r="P10" s="231">
        <f t="shared" ref="P10:P68" si="6">O10*11</f>
        <v>70.963200000000001</v>
      </c>
      <c r="Q10" s="266"/>
      <c r="R10" s="88">
        <f t="shared" si="1"/>
        <v>718.30079999999998</v>
      </c>
      <c r="S10" s="786">
        <f>IFERROR(IF(OR('ФАСАД Рязань'!$T$6="Завод 'ТЕХНО' г.Рязань",'ФАСАД Рязань'!$T$6="Завод 'ТЕХНО' г.Заинск"),IF('ФАСАД Рязань'!$T$6="Завод 'ТЕХНО' г.Рязань",'ФАСАД Рязань'!R10*(1-'ФАСАД Рязань'!$V$5-'ФАСАД Рязань'!V10)+IFERROR(SEARCH("комп",J10)/SEARCH("комп",J10)*'ФАСАД Рязань'!$R$5,'ФАСАД Рязань'!S$5),'ФАСАД Заинск'!R10*(1-'ФАСАД Рязань'!$V$5-'ФАСАД Рязань'!V10)+IFERROR(SEARCH("комп",J10)/SEARCH("комп",J10)*'ФАСАД Рязань'!$R$5,'ФАСАД Рязань'!S$5)),'ФАСАД Юрга'!R10*(1-'ФАСАД Рязань'!$V$5-'ФАСАД Рязань'!V10)+IFERROR(SEARCH("комп",J10)/SEARCH("комп",J10)*'ФАСАД Рязань'!$R$5,'ФАСАД Рязань'!S$5)),"нет")</f>
        <v>3563</v>
      </c>
      <c r="T10" s="101">
        <f t="shared" si="2"/>
        <v>249.41</v>
      </c>
      <c r="U10" s="1221"/>
      <c r="V10" s="1229"/>
      <c r="W10" s="1221"/>
      <c r="X10" s="1154"/>
      <c r="Y10" s="1155"/>
      <c r="Z10" s="1156"/>
      <c r="AA10" s="1157"/>
      <c r="AB10" s="991"/>
      <c r="AC10" s="991"/>
      <c r="AD10" s="1022"/>
      <c r="AE10" s="746"/>
      <c r="AF10" s="82"/>
      <c r="AG10" s="2"/>
    </row>
    <row r="11" spans="1:33" ht="20.100000000000001" customHeight="1" thickBot="1" x14ac:dyDescent="0.3">
      <c r="A11" s="1246"/>
      <c r="B11" s="203">
        <v>1200</v>
      </c>
      <c r="C11" s="204">
        <v>600</v>
      </c>
      <c r="D11" s="209">
        <v>80</v>
      </c>
      <c r="E11" s="263"/>
      <c r="F11" s="263">
        <v>0</v>
      </c>
      <c r="G11" s="264" t="s">
        <v>137</v>
      </c>
      <c r="H11" s="604" t="str">
        <f>IF(OR('ФАСАД Рязань'!$T$6="Завод 'ТЕХНО' г.Рязань",'ФАСАД Рязань'!$T$6="Завод 'ТЕХНО' г.Заинск"),'ФАСАД Рязань'!E11,'ФАСАД Юрга'!E11)</f>
        <v>C</v>
      </c>
      <c r="I11" s="1181">
        <f>IF(OR('ФАСАД Рязань'!$T$6="Завод 'ТЕХНО' г.Рязань",'ФАСАД Рязань'!$T$6="Завод 'ТЕХНО' г.Заинск"),'ФАСАД Рязань'!I11,'ФАСАД Юрга'!I11)</f>
        <v>131.32799999999997</v>
      </c>
      <c r="J11" s="177"/>
      <c r="K11" s="97">
        <v>5</v>
      </c>
      <c r="L11" s="166">
        <f t="shared" si="3"/>
        <v>3.6</v>
      </c>
      <c r="M11" s="169">
        <f t="shared" si="4"/>
        <v>0.28799999999999998</v>
      </c>
      <c r="N11" s="97">
        <v>24</v>
      </c>
      <c r="O11" s="126">
        <f t="shared" si="5"/>
        <v>6.911999999999999</v>
      </c>
      <c r="P11" s="231">
        <f t="shared" si="6"/>
        <v>76.031999999999982</v>
      </c>
      <c r="Q11" s="266"/>
      <c r="R11" s="88">
        <f t="shared" si="1"/>
        <v>1026.144</v>
      </c>
      <c r="S11" s="786">
        <f>IFERROR(IF(OR('ФАСАД Рязань'!$T$6="Завод 'ТЕХНО' г.Рязань",'ФАСАД Рязань'!$T$6="Завод 'ТЕХНО' г.Заинск"),IF('ФАСАД Рязань'!$T$6="Завод 'ТЕХНО' г.Рязань",'ФАСАД Рязань'!R11*(1-'ФАСАД Рязань'!$V$5-'ФАСАД Рязань'!V11)+IFERROR(SEARCH("комп",J11)/SEARCH("комп",J11)*'ФАСАД Рязань'!$R$5,'ФАСАД Рязань'!S$5),'ФАСАД Заинск'!R11*(1-'ФАСАД Рязань'!$V$5-'ФАСАД Рязань'!V11)+IFERROR(SEARCH("комп",J11)/SEARCH("комп",J11)*'ФАСАД Рязань'!$R$5,'ФАСАД Рязань'!S$5)),'ФАСАД Юрга'!R11*(1-'ФАСАД Рязань'!$V$5-'ФАСАД Рязань'!V11)+IFERROR(SEARCH("комп",J11)/SEARCH("комп",J11)*'ФАСАД Рязань'!$R$5,'ФАСАД Рязань'!S$5)),"нет")</f>
        <v>3563</v>
      </c>
      <c r="T11" s="101">
        <f t="shared" si="2"/>
        <v>285.04000000000002</v>
      </c>
      <c r="U11" s="1221"/>
      <c r="V11" s="1229"/>
      <c r="W11" s="1221"/>
      <c r="X11" s="1154"/>
      <c r="Y11" s="1155"/>
      <c r="Z11" s="1156"/>
      <c r="AA11" s="1157"/>
      <c r="AB11" s="991"/>
      <c r="AC11" s="991"/>
      <c r="AD11" s="1022"/>
      <c r="AE11" s="746"/>
      <c r="AF11" s="82"/>
      <c r="AG11" s="2"/>
    </row>
    <row r="12" spans="1:33" ht="20.100000000000001" customHeight="1" thickBot="1" x14ac:dyDescent="0.3">
      <c r="A12" s="1246"/>
      <c r="B12" s="203">
        <v>1200</v>
      </c>
      <c r="C12" s="204">
        <v>600</v>
      </c>
      <c r="D12" s="209">
        <v>90</v>
      </c>
      <c r="E12" s="263">
        <v>125</v>
      </c>
      <c r="F12" s="263">
        <v>20.093878600823047</v>
      </c>
      <c r="G12" s="264" t="s">
        <v>698</v>
      </c>
      <c r="H12" s="604" t="str">
        <f>IF(OR('ФАСАД Рязань'!$T$6="Завод 'ТЕХНО' г.Рязань",'ФАСАД Рязань'!$T$6="Завод 'ТЕХНО' г.Заинск"),'ФАСАД Рязань'!E12,'ФАСАД Юрга'!E12)</f>
        <v>C</v>
      </c>
      <c r="I12" s="1181">
        <f>IF(OR('ФАСАД Рязань'!$T$6="Завод 'ТЕХНО' г.Рязань",'ФАСАД Рязань'!$T$6="Завод 'ТЕХНО' г.Заинск"),'ФАСАД Рязань'!I12,'ФАСАД Юрга'!I12)</f>
        <v>129.60000000000002</v>
      </c>
      <c r="J12" s="177">
        <v>391.91039999999998</v>
      </c>
      <c r="K12" s="97">
        <v>5</v>
      </c>
      <c r="L12" s="166">
        <f t="shared" si="3"/>
        <v>3.6</v>
      </c>
      <c r="M12" s="169">
        <f t="shared" si="4"/>
        <v>0.32400000000000001</v>
      </c>
      <c r="N12" s="97">
        <v>20</v>
      </c>
      <c r="O12" s="126">
        <f t="shared" si="5"/>
        <v>6.48</v>
      </c>
      <c r="P12" s="231">
        <f t="shared" si="6"/>
        <v>71.28</v>
      </c>
      <c r="Q12" s="266"/>
      <c r="R12" s="88">
        <f t="shared" si="1"/>
        <v>1154.412</v>
      </c>
      <c r="S12" s="786">
        <f>IFERROR(IF(OR('ФАСАД Рязань'!$T$6="Завод 'ТЕХНО' г.Рязань",'ФАСАД Рязань'!$T$6="Завод 'ТЕХНО' г.Заинск"),IF('ФАСАД Рязань'!$T$6="Завод 'ТЕХНО' г.Рязань",'ФАСАД Рязань'!R12*(1-'ФАСАД Рязань'!$V$5-'ФАСАД Рязань'!V12)+IFERROR(SEARCH("комп",J12)/SEARCH("комп",J12)*'ФАСАД Рязань'!$R$5,'ФАСАД Рязань'!S$5),'ФАСАД Заинск'!R12*(1-'ФАСАД Рязань'!$V$5-'ФАСАД Рязань'!V12)+IFERROR(SEARCH("комп",J12)/SEARCH("комп",J12)*'ФАСАД Рязань'!$R$5,'ФАСАД Рязань'!S$5)),'ФАСАД Юрга'!R12*(1-'ФАСАД Рязань'!$V$5-'ФАСАД Рязань'!V12)+IFERROR(SEARCH("комп",J12)/SEARCH("комп",J12)*'ФАСАД Рязань'!$R$5,'ФАСАД Рязань'!S$5)),"нет")</f>
        <v>3563</v>
      </c>
      <c r="T12" s="101">
        <f t="shared" si="2"/>
        <v>320.67</v>
      </c>
      <c r="U12" s="1221"/>
      <c r="V12" s="1229"/>
      <c r="W12" s="1221"/>
      <c r="X12" s="1154"/>
      <c r="Y12" s="1155"/>
      <c r="Z12" s="1156"/>
      <c r="AA12" s="1157"/>
      <c r="AB12" s="991"/>
      <c r="AC12" s="991"/>
      <c r="AD12" s="1022"/>
      <c r="AE12" s="746"/>
      <c r="AF12" s="82"/>
      <c r="AG12" s="2"/>
    </row>
    <row r="13" spans="1:33" ht="20.100000000000001" customHeight="1" thickBot="1" x14ac:dyDescent="0.3">
      <c r="A13" s="1246"/>
      <c r="B13" s="203">
        <v>1200</v>
      </c>
      <c r="C13" s="204">
        <v>600</v>
      </c>
      <c r="D13" s="209">
        <v>100</v>
      </c>
      <c r="E13" s="263"/>
      <c r="F13" s="263">
        <v>0</v>
      </c>
      <c r="G13" s="264" t="s">
        <v>138</v>
      </c>
      <c r="H13" s="604" t="str">
        <f>IF(OR('ФАСАД Рязань'!$T$6="Завод 'ТЕХНО' г.Рязань",'ФАСАД Рязань'!$T$6="Завод 'ТЕХНО' г.Заинск"),'ФАСАД Рязань'!E13,'ФАСАД Юрга'!E13)</f>
        <v>Б</v>
      </c>
      <c r="I13" s="1181" t="str">
        <f>IF(OR('ФАСАД Рязань'!$T$6="Завод 'ТЕХНО' г.Рязань",'ФАСАД Рязань'!$T$6="Завод 'ТЕХНО' г.Заинск"),'ФАСАД Рязань'!I13,'ФАСАД Юрга'!I13)</f>
        <v xml:space="preserve"> </v>
      </c>
      <c r="J13" s="177"/>
      <c r="K13" s="97">
        <v>4</v>
      </c>
      <c r="L13" s="166">
        <f t="shared" si="3"/>
        <v>2.88</v>
      </c>
      <c r="M13" s="169">
        <f t="shared" si="4"/>
        <v>0.28799999999999998</v>
      </c>
      <c r="N13" s="97">
        <v>24</v>
      </c>
      <c r="O13" s="126">
        <f t="shared" si="5"/>
        <v>6.911999999999999</v>
      </c>
      <c r="P13" s="231">
        <f t="shared" si="6"/>
        <v>76.031999999999982</v>
      </c>
      <c r="Q13" s="266"/>
      <c r="R13" s="88">
        <f t="shared" si="1"/>
        <v>1026.144</v>
      </c>
      <c r="S13" s="786">
        <f>IFERROR(IF(OR('ФАСАД Рязань'!$T$6="Завод 'ТЕХНО' г.Рязань",'ФАСАД Рязань'!$T$6="Завод 'ТЕХНО' г.Заинск"),IF('ФАСАД Рязань'!$T$6="Завод 'ТЕХНО' г.Рязань",'ФАСАД Рязань'!R13*(1-'ФАСАД Рязань'!$V$5-'ФАСАД Рязань'!V13)+IFERROR(SEARCH("комп",J13)/SEARCH("комп",J13)*'ФАСАД Рязань'!$R$5,'ФАСАД Рязань'!S$5),'ФАСАД Заинск'!R13*(1-'ФАСАД Рязань'!$V$5-'ФАСАД Рязань'!V13)+IFERROR(SEARCH("комп",J13)/SEARCH("комп",J13)*'ФАСАД Рязань'!$R$5,'ФАСАД Рязань'!S$5)),'ФАСАД Юрга'!R13*(1-'ФАСАД Рязань'!$V$5-'ФАСАД Рязань'!V13)+IFERROR(SEARCH("комп",J13)/SEARCH("комп",J13)*'ФАСАД Рязань'!$R$5,'ФАСАД Рязань'!S$5)),"нет")</f>
        <v>3563</v>
      </c>
      <c r="T13" s="101">
        <f t="shared" si="2"/>
        <v>356.3</v>
      </c>
      <c r="U13" s="1221"/>
      <c r="V13" s="1229"/>
      <c r="W13" s="1221"/>
      <c r="X13" s="1154"/>
      <c r="Y13" s="1155"/>
      <c r="Z13" s="1156"/>
      <c r="AA13" s="1157"/>
      <c r="AB13" s="991"/>
      <c r="AC13" s="991"/>
      <c r="AD13" s="1022"/>
      <c r="AE13" s="746"/>
      <c r="AF13" s="82"/>
      <c r="AG13" s="2"/>
    </row>
    <row r="14" spans="1:33" ht="20.100000000000001" customHeight="1" thickBot="1" x14ac:dyDescent="0.3">
      <c r="A14" s="1246"/>
      <c r="B14" s="203">
        <v>1200</v>
      </c>
      <c r="C14" s="204">
        <v>600</v>
      </c>
      <c r="D14" s="209">
        <v>110</v>
      </c>
      <c r="E14" s="263">
        <v>125</v>
      </c>
      <c r="F14" s="263">
        <v>18.789081289081288</v>
      </c>
      <c r="G14" s="264" t="s">
        <v>139</v>
      </c>
      <c r="H14" s="604" t="str">
        <f>IF(OR('ФАСАД Рязань'!$T$6="Завод 'ТЕХНО' г.Рязань",'ФАСАД Рязань'!$T$6="Завод 'ТЕХНО' г.Заинск"),'ФАСАД Рязань'!E14,'ФАСАД Юрга'!E14)</f>
        <v>C</v>
      </c>
      <c r="I14" s="1181">
        <f>IF(OR('ФАСАД Рязань'!$T$6="Завод 'ТЕХНО' г.Рязань",'ФАСАД Рязань'!$T$6="Завод 'ТЕХНО' г.Заинск"),'ФАСАД Рязань'!I14,'ФАСАД Юрга'!I14)</f>
        <v>126.40320000000001</v>
      </c>
      <c r="J14" s="177">
        <v>379.20960000000002</v>
      </c>
      <c r="K14" s="97">
        <v>3</v>
      </c>
      <c r="L14" s="166">
        <f t="shared" si="3"/>
        <v>2.16</v>
      </c>
      <c r="M14" s="169">
        <f t="shared" si="4"/>
        <v>0.23760000000000003</v>
      </c>
      <c r="N14" s="97">
        <v>28</v>
      </c>
      <c r="O14" s="126">
        <f t="shared" si="5"/>
        <v>6.6528000000000009</v>
      </c>
      <c r="P14" s="231">
        <f t="shared" si="6"/>
        <v>73.180800000000005</v>
      </c>
      <c r="Q14" s="266"/>
      <c r="R14" s="88">
        <f t="shared" si="1"/>
        <v>846.56880000000012</v>
      </c>
      <c r="S14" s="786">
        <f>IFERROR(IF(OR('ФАСАД Рязань'!$T$6="Завод 'ТЕХНО' г.Рязань",'ФАСАД Рязань'!$T$6="Завод 'ТЕХНО' г.Заинск"),IF('ФАСАД Рязань'!$T$6="Завод 'ТЕХНО' г.Рязань",'ФАСАД Рязань'!R14*(1-'ФАСАД Рязань'!$V$5-'ФАСАД Рязань'!V14)+IFERROR(SEARCH("комп",J14)/SEARCH("комп",J14)*'ФАСАД Рязань'!$R$5,'ФАСАД Рязань'!S$5),'ФАСАД Заинск'!R14*(1-'ФАСАД Рязань'!$V$5-'ФАСАД Рязань'!V14)+IFERROR(SEARCH("комп",J14)/SEARCH("комп",J14)*'ФАСАД Рязань'!$R$5,'ФАСАД Рязань'!S$5)),'ФАСАД Юрга'!R14*(1-'ФАСАД Рязань'!$V$5-'ФАСАД Рязань'!V14)+IFERROR(SEARCH("комп",J14)/SEARCH("комп",J14)*'ФАСАД Рязань'!$R$5,'ФАСАД Рязань'!S$5)),"нет")</f>
        <v>3563</v>
      </c>
      <c r="T14" s="101">
        <f t="shared" si="2"/>
        <v>391.93</v>
      </c>
      <c r="U14" s="1221"/>
      <c r="V14" s="1229"/>
      <c r="W14" s="1221"/>
      <c r="X14" s="1154"/>
      <c r="Y14" s="1155"/>
      <c r="Z14" s="1156"/>
      <c r="AA14" s="1157"/>
      <c r="AB14" s="991"/>
      <c r="AC14" s="991"/>
      <c r="AD14" s="1022"/>
      <c r="AE14" s="746"/>
      <c r="AF14" s="82"/>
      <c r="AG14" s="2"/>
    </row>
    <row r="15" spans="1:33" ht="20.100000000000001" customHeight="1" thickBot="1" x14ac:dyDescent="0.3">
      <c r="A15" s="1246"/>
      <c r="B15" s="203">
        <v>1200</v>
      </c>
      <c r="C15" s="204">
        <v>600</v>
      </c>
      <c r="D15" s="209">
        <v>120</v>
      </c>
      <c r="E15" s="263">
        <v>125</v>
      </c>
      <c r="F15" s="263">
        <v>20.093878600823043</v>
      </c>
      <c r="G15" s="264" t="s">
        <v>699</v>
      </c>
      <c r="H15" s="604" t="str">
        <f>IF(OR('ФАСАД Рязань'!$T$6="Завод 'ТЕХНО' г.Рязань",'ФАСАД Рязань'!$T$6="Завод 'ТЕХНО' г.Заинск"),'ФАСАД Рязань'!E15,'ФАСАД Юрга'!E15)</f>
        <v>C</v>
      </c>
      <c r="I15" s="1181">
        <f>IF(OR('ФАСАД Рязань'!$T$6="Завод 'ТЕХНО' г.Рязань",'ФАСАД Рязань'!$T$6="Завод 'ТЕХНО' г.Заинск"),'ФАСАД Рязань'!I15,'ФАСАД Юрга'!I15)</f>
        <v>131.32799999999997</v>
      </c>
      <c r="J15" s="177">
        <v>391.9104000000001</v>
      </c>
      <c r="K15" s="97">
        <v>2</v>
      </c>
      <c r="L15" s="166">
        <f t="shared" si="3"/>
        <v>1.44</v>
      </c>
      <c r="M15" s="169">
        <f t="shared" si="4"/>
        <v>0.17279999999999998</v>
      </c>
      <c r="N15" s="97">
        <v>40</v>
      </c>
      <c r="O15" s="126">
        <f t="shared" si="5"/>
        <v>6.911999999999999</v>
      </c>
      <c r="P15" s="231">
        <f t="shared" si="6"/>
        <v>76.031999999999982</v>
      </c>
      <c r="Q15" s="266"/>
      <c r="R15" s="88">
        <f t="shared" si="1"/>
        <v>615.68639999999994</v>
      </c>
      <c r="S15" s="786">
        <f>IFERROR(IF(OR('ФАСАД Рязань'!$T$6="Завод 'ТЕХНО' г.Рязань",'ФАСАД Рязань'!$T$6="Завод 'ТЕХНО' г.Заинск"),IF('ФАСАД Рязань'!$T$6="Завод 'ТЕХНО' г.Рязань",'ФАСАД Рязань'!R15*(1-'ФАСАД Рязань'!$V$5-'ФАСАД Рязань'!V15)+IFERROR(SEARCH("комп",J15)/SEARCH("комп",J15)*'ФАСАД Рязань'!$R$5,'ФАСАД Рязань'!S$5),'ФАСАД Заинск'!R15*(1-'ФАСАД Рязань'!$V$5-'ФАСАД Рязань'!V15)+IFERROR(SEARCH("комп",J15)/SEARCH("комп",J15)*'ФАСАД Рязань'!$R$5,'ФАСАД Рязань'!S$5)),'ФАСАД Юрга'!R15*(1-'ФАСАД Рязань'!$V$5-'ФАСАД Рязань'!V15)+IFERROR(SEARCH("комп",J15)/SEARCH("комп",J15)*'ФАСАД Рязань'!$R$5,'ФАСАД Рязань'!S$5)),"нет")</f>
        <v>3563</v>
      </c>
      <c r="T15" s="101">
        <f t="shared" si="2"/>
        <v>427.56</v>
      </c>
      <c r="U15" s="1221"/>
      <c r="V15" s="1229"/>
      <c r="W15" s="1221"/>
      <c r="X15" s="1154"/>
      <c r="Y15" s="1155"/>
      <c r="Z15" s="1156"/>
      <c r="AA15" s="1157"/>
      <c r="AB15" s="991"/>
      <c r="AC15" s="991"/>
      <c r="AD15" s="1022"/>
      <c r="AE15" s="746"/>
      <c r="AF15" s="82"/>
      <c r="AG15" s="2"/>
    </row>
    <row r="16" spans="1:33" ht="20.100000000000001" customHeight="1" thickBot="1" x14ac:dyDescent="0.3">
      <c r="A16" s="1246"/>
      <c r="B16" s="203">
        <v>1200</v>
      </c>
      <c r="C16" s="204">
        <v>600</v>
      </c>
      <c r="D16" s="209">
        <v>130</v>
      </c>
      <c r="E16" s="263">
        <v>125</v>
      </c>
      <c r="F16" s="263">
        <v>18.548195631528966</v>
      </c>
      <c r="G16" s="264" t="s">
        <v>140</v>
      </c>
      <c r="H16" s="604" t="str">
        <f>IF(OR('ФАСАД Рязань'!$T$6="Завод 'ТЕХНО' г.Рязань",'ФАСАД Рязань'!$T$6="Завод 'ТЕХНО' г.Заинск"),'ФАСАД Рязань'!E17,'ФАСАД Юрга'!E17)</f>
        <v>C</v>
      </c>
      <c r="I16" s="1181">
        <f>IF(OR('ФАСАД Рязань'!$T$6="Завод 'ТЕХНО' г.Рязань",'ФАСАД Рязань'!$T$6="Завод 'ТЕХНО' г.Заинск"),'ФАСАД Рязань'!I16,'ФАСАД Юрга'!I16)</f>
        <v>128.04479999999998</v>
      </c>
      <c r="J16" s="177">
        <v>384.13439999999991</v>
      </c>
      <c r="K16" s="97">
        <v>2</v>
      </c>
      <c r="L16" s="166">
        <f t="shared" si="3"/>
        <v>1.44</v>
      </c>
      <c r="M16" s="169">
        <f t="shared" si="4"/>
        <v>0.18719999999999998</v>
      </c>
      <c r="N16" s="97">
        <v>36</v>
      </c>
      <c r="O16" s="126">
        <f t="shared" si="5"/>
        <v>6.7391999999999994</v>
      </c>
      <c r="P16" s="231">
        <f t="shared" si="6"/>
        <v>74.131199999999993</v>
      </c>
      <c r="Q16" s="266"/>
      <c r="R16" s="88">
        <f t="shared" si="1"/>
        <v>666.9935999999999</v>
      </c>
      <c r="S16" s="786">
        <f>IFERROR(IF(OR('ФАСАД Рязань'!$T$6="Завод 'ТЕХНО' г.Рязань",'ФАСАД Рязань'!$T$6="Завод 'ТЕХНО' г.Заинск"),IF('ФАСАД Рязань'!$T$6="Завод 'ТЕХНО' г.Рязань",'ФАСАД Рязань'!R16*(1-'ФАСАД Рязань'!$V$5-'ФАСАД Рязань'!V16)+IFERROR(SEARCH("комп",J16)/SEARCH("комп",J16)*'ФАСАД Рязань'!$R$5,'ФАСАД Рязань'!S$5),'ФАСАД Заинск'!R16*(1-'ФАСАД Рязань'!$V$5-'ФАСАД Рязань'!V16)+IFERROR(SEARCH("комп",J16)/SEARCH("комп",J16)*'ФАСАД Рязань'!$R$5,'ФАСАД Рязань'!S$5)),'ФАСАД Юрга'!R16*(1-'ФАСАД Рязань'!$V$5-'ФАСАД Рязань'!V16)+IFERROR(SEARCH("комп",J16)/SEARCH("комп",J16)*'ФАСАД Рязань'!$R$5,'ФАСАД Рязань'!S$5)),"нет")</f>
        <v>3563</v>
      </c>
      <c r="T16" s="101">
        <f t="shared" si="2"/>
        <v>463.19</v>
      </c>
      <c r="U16" s="1221"/>
      <c r="V16" s="1229"/>
      <c r="W16" s="1221"/>
      <c r="X16" s="1154"/>
      <c r="Y16" s="1155"/>
      <c r="Z16" s="1156"/>
      <c r="AA16" s="1157"/>
      <c r="AB16" s="991"/>
      <c r="AC16" s="991"/>
      <c r="AD16" s="1022"/>
      <c r="AE16" s="746"/>
      <c r="AF16" s="82"/>
      <c r="AG16" s="2"/>
    </row>
    <row r="17" spans="1:33" ht="20.100000000000001" customHeight="1" thickBot="1" x14ac:dyDescent="0.3">
      <c r="A17" s="1246"/>
      <c r="B17" s="203">
        <v>1200</v>
      </c>
      <c r="C17" s="204">
        <v>600</v>
      </c>
      <c r="D17" s="209">
        <v>140</v>
      </c>
      <c r="E17" s="263">
        <v>125</v>
      </c>
      <c r="F17" s="263">
        <v>19.376240079365079</v>
      </c>
      <c r="G17" s="264" t="s">
        <v>141</v>
      </c>
      <c r="H17" s="604" t="str">
        <f>IF(OR('ФАСАД Рязань'!$T$6="Завод 'ТЕХНО' г.Рязань",'ФАСАД Рязань'!$T$6="Завод 'ТЕХНО' г.Заинск"),'ФАСАД Рязань'!E17,'ФАСАД Юрга'!E17)</f>
        <v>C</v>
      </c>
      <c r="I17" s="1181">
        <f>IF(OR('ФАСАД Рязань'!$T$6="Завод 'ТЕХНО' г.Рязань",'ФАСАД Рязань'!$T$6="Завод 'ТЕХНО' г.Заинск"),'ФАСАД Рязань'!I17,'ФАСАД Юрга'!I17)</f>
        <v>129.024</v>
      </c>
      <c r="J17" s="177">
        <v>387.072</v>
      </c>
      <c r="K17" s="97">
        <v>2</v>
      </c>
      <c r="L17" s="166">
        <f t="shared" si="3"/>
        <v>1.44</v>
      </c>
      <c r="M17" s="169">
        <f t="shared" si="4"/>
        <v>0.2016</v>
      </c>
      <c r="N17" s="97">
        <v>32</v>
      </c>
      <c r="O17" s="126">
        <f t="shared" si="5"/>
        <v>6.4512</v>
      </c>
      <c r="P17" s="231">
        <f t="shared" si="6"/>
        <v>70.963200000000001</v>
      </c>
      <c r="Q17" s="266"/>
      <c r="R17" s="88">
        <f t="shared" si="1"/>
        <v>718.30079999999998</v>
      </c>
      <c r="S17" s="786">
        <f>IFERROR(IF(OR('ФАСАД Рязань'!$T$6="Завод 'ТЕХНО' г.Рязань",'ФАСАД Рязань'!$T$6="Завод 'ТЕХНО' г.Заинск"),IF('ФАСАД Рязань'!$T$6="Завод 'ТЕХНО' г.Рязань",'ФАСАД Рязань'!R17*(1-'ФАСАД Рязань'!$V$5-'ФАСАД Рязань'!V17)+IFERROR(SEARCH("комп",J17)/SEARCH("комп",J17)*'ФАСАД Рязань'!$R$5,'ФАСАД Рязань'!S$5),'ФАСАД Заинск'!R17*(1-'ФАСАД Рязань'!$V$5-'ФАСАД Рязань'!V17)+IFERROR(SEARCH("комп",J17)/SEARCH("комп",J17)*'ФАСАД Рязань'!$R$5,'ФАСАД Рязань'!S$5)),'ФАСАД Юрга'!R17*(1-'ФАСАД Рязань'!$V$5-'ФАСАД Рязань'!V17)+IFERROR(SEARCH("комп",J17)/SEARCH("комп",J17)*'ФАСАД Рязань'!$R$5,'ФАСАД Рязань'!S$5)),"нет")</f>
        <v>3563</v>
      </c>
      <c r="T17" s="101">
        <f t="shared" si="2"/>
        <v>498.82</v>
      </c>
      <c r="U17" s="1221"/>
      <c r="V17" s="1229"/>
      <c r="W17" s="1221"/>
      <c r="X17" s="1154"/>
      <c r="Y17" s="1155"/>
      <c r="Z17" s="1156"/>
      <c r="AA17" s="1157"/>
      <c r="AB17" s="991"/>
      <c r="AC17" s="991"/>
      <c r="AD17" s="1022"/>
      <c r="AE17" s="746"/>
      <c r="AF17" s="82"/>
      <c r="AG17" s="2"/>
    </row>
    <row r="18" spans="1:33" ht="20.100000000000001" customHeight="1" thickBot="1" x14ac:dyDescent="0.3">
      <c r="A18" s="1246"/>
      <c r="B18" s="203">
        <v>1200</v>
      </c>
      <c r="C18" s="204">
        <v>600</v>
      </c>
      <c r="D18" s="209">
        <v>150</v>
      </c>
      <c r="E18" s="263">
        <v>125</v>
      </c>
      <c r="F18" s="263">
        <v>18.08449074074074</v>
      </c>
      <c r="G18" s="264" t="s">
        <v>142</v>
      </c>
      <c r="H18" s="604" t="str">
        <f>IF(OR('ФАСАД Рязань'!$T$6="Завод 'ТЕХНО' г.Рязань",'ФАСАД Рязань'!$T$6="Завод 'ТЕХНО' г.Заинск"),'ФАСАД Рязань'!E18,'ФАСАД Юрга'!E18)</f>
        <v>C</v>
      </c>
      <c r="I18" s="1181">
        <f>IF(OR('ФАСАД Рязань'!$T$6="Завод 'ТЕХНО' г.Рязань",'ФАСАД Рязань'!$T$6="Завод 'ТЕХНО' г.Заинск"),'ФАСАД Рязань'!I18,'ФАСАД Юрга'!I18)</f>
        <v>131.328</v>
      </c>
      <c r="J18" s="177">
        <v>393.98400000000004</v>
      </c>
      <c r="K18" s="97">
        <v>2</v>
      </c>
      <c r="L18" s="166">
        <f t="shared" si="3"/>
        <v>1.44</v>
      </c>
      <c r="M18" s="169">
        <f t="shared" si="4"/>
        <v>0.216</v>
      </c>
      <c r="N18" s="97">
        <v>32</v>
      </c>
      <c r="O18" s="126">
        <f t="shared" si="5"/>
        <v>6.9119999999999999</v>
      </c>
      <c r="P18" s="231">
        <f t="shared" si="6"/>
        <v>76.031999999999996</v>
      </c>
      <c r="Q18" s="266"/>
      <c r="R18" s="88">
        <f t="shared" si="1"/>
        <v>769.60799999999995</v>
      </c>
      <c r="S18" s="786">
        <f>IFERROR(IF(OR('ФАСАД Рязань'!$T$6="Завод 'ТЕХНО' г.Рязань",'ФАСАД Рязань'!$T$6="Завод 'ТЕХНО' г.Заинск"),IF('ФАСАД Рязань'!$T$6="Завод 'ТЕХНО' г.Рязань",'ФАСАД Рязань'!R18*(1-'ФАСАД Рязань'!$V$5-'ФАСАД Рязань'!V18)+IFERROR(SEARCH("комп",J18)/SEARCH("комп",J18)*'ФАСАД Рязань'!$R$5,'ФАСАД Рязань'!S$5),'ФАСАД Заинск'!R18*(1-'ФАСАД Рязань'!$V$5-'ФАСАД Рязань'!V18)+IFERROR(SEARCH("комп",J18)/SEARCH("комп",J18)*'ФАСАД Рязань'!$R$5,'ФАСАД Рязань'!S$5)),'ФАСАД Юрга'!R18*(1-'ФАСАД Рязань'!$V$5-'ФАСАД Рязань'!V18)+IFERROR(SEARCH("комп",J18)/SEARCH("комп",J18)*'ФАСАД Рязань'!$R$5,'ФАСАД Рязань'!S$5)),"нет")</f>
        <v>3563</v>
      </c>
      <c r="T18" s="101">
        <f t="shared" si="2"/>
        <v>534.45000000000005</v>
      </c>
      <c r="U18" s="1221"/>
      <c r="V18" s="1229"/>
      <c r="W18" s="1221"/>
      <c r="X18" s="1154"/>
      <c r="Y18" s="1155"/>
      <c r="Z18" s="1156"/>
      <c r="AA18" s="1157"/>
      <c r="AB18" s="991"/>
      <c r="AC18" s="991"/>
      <c r="AD18" s="1022"/>
      <c r="AE18" s="746"/>
      <c r="AF18" s="82"/>
      <c r="AG18" s="2"/>
    </row>
    <row r="19" spans="1:33" ht="20.100000000000001" customHeight="1" thickBot="1" x14ac:dyDescent="0.3">
      <c r="A19" s="1246"/>
      <c r="B19" s="203">
        <v>1200</v>
      </c>
      <c r="C19" s="204">
        <v>600</v>
      </c>
      <c r="D19" s="209">
        <v>160</v>
      </c>
      <c r="E19" s="263">
        <v>125</v>
      </c>
      <c r="F19" s="263">
        <v>19.376240079365083</v>
      </c>
      <c r="G19" s="264" t="s">
        <v>143</v>
      </c>
      <c r="H19" s="604" t="str">
        <f>IF(OR('ФАСАД Рязань'!$T$6="Завод 'ТЕХНО' г.Рязань",'ФАСАД Рязань'!$T$6="Завод 'ТЕХНО' г.Заинск"),'ФАСАД Рязань'!E19,'ФАСАД Юрга'!E19)</f>
        <v>C</v>
      </c>
      <c r="I19" s="1181">
        <f>IF(OR('ФАСАД Рязань'!$T$6="Завод 'ТЕХНО' г.Рязань",'ФАСАД Рязань'!$T$6="Завод 'ТЕХНО' г.Заинск"),'ФАСАД Рязань'!I19,'ФАСАД Юрга'!I19)</f>
        <v>129.02399999999997</v>
      </c>
      <c r="J19" s="177">
        <v>387.07199999999989</v>
      </c>
      <c r="K19" s="97">
        <v>2</v>
      </c>
      <c r="L19" s="166">
        <f t="shared" si="3"/>
        <v>1.44</v>
      </c>
      <c r="M19" s="169">
        <f t="shared" si="4"/>
        <v>0.23039999999999997</v>
      </c>
      <c r="N19" s="97">
        <v>28</v>
      </c>
      <c r="O19" s="126">
        <f t="shared" si="5"/>
        <v>6.4511999999999992</v>
      </c>
      <c r="P19" s="231">
        <f t="shared" si="6"/>
        <v>70.963199999999986</v>
      </c>
      <c r="Q19" s="266"/>
      <c r="R19" s="88">
        <f t="shared" si="1"/>
        <v>820.91519999999991</v>
      </c>
      <c r="S19" s="786">
        <f>IFERROR(IF(OR('ФАСАД Рязань'!$T$6="Завод 'ТЕХНО' г.Рязань",'ФАСАД Рязань'!$T$6="Завод 'ТЕХНО' г.Заинск"),IF('ФАСАД Рязань'!$T$6="Завод 'ТЕХНО' г.Рязань",'ФАСАД Рязань'!R19*(1-'ФАСАД Рязань'!$V$5-'ФАСАД Рязань'!V19)+IFERROR(SEARCH("комп",J19)/SEARCH("комп",J19)*'ФАСАД Рязань'!$R$5,'ФАСАД Рязань'!S$5),'ФАСАД Заинск'!R19*(1-'ФАСАД Рязань'!$V$5-'ФАСАД Рязань'!V19)+IFERROR(SEARCH("комп",J19)/SEARCH("комп",J19)*'ФАСАД Рязань'!$R$5,'ФАСАД Рязань'!S$5)),'ФАСАД Юрга'!R19*(1-'ФАСАД Рязань'!$V$5-'ФАСАД Рязань'!V19)+IFERROR(SEARCH("комп",J19)/SEARCH("комп",J19)*'ФАСАД Рязань'!$R$5,'ФАСАД Рязань'!S$5)),"нет")</f>
        <v>3563</v>
      </c>
      <c r="T19" s="101">
        <f t="shared" si="2"/>
        <v>570.08000000000004</v>
      </c>
      <c r="U19" s="1221"/>
      <c r="V19" s="1229"/>
      <c r="W19" s="1221"/>
      <c r="X19" s="1154"/>
      <c r="Y19" s="1155"/>
      <c r="Z19" s="1156"/>
      <c r="AA19" s="1157"/>
      <c r="AB19" s="991"/>
      <c r="AC19" s="991"/>
      <c r="AD19" s="1022"/>
      <c r="AE19" s="746"/>
      <c r="AF19" s="82"/>
      <c r="AG19" s="2"/>
    </row>
    <row r="20" spans="1:33" ht="20.100000000000001" customHeight="1" thickBot="1" x14ac:dyDescent="0.3">
      <c r="A20" s="1246"/>
      <c r="B20" s="203">
        <v>1200</v>
      </c>
      <c r="C20" s="204">
        <v>600</v>
      </c>
      <c r="D20" s="209">
        <v>170</v>
      </c>
      <c r="E20" s="263">
        <v>125</v>
      </c>
      <c r="F20" s="263">
        <v>18.236461251167132</v>
      </c>
      <c r="G20" s="264" t="s">
        <v>144</v>
      </c>
      <c r="H20" s="604" t="str">
        <f>IF(OR('ФАСАД Рязань'!$T$6="Завод 'ТЕХНО' г.Рязань",'ФАСАД Рязань'!$T$6="Завод 'ТЕХНО' г.Заинск"),'ФАСАД Рязань'!E20,'ФАСАД Юрга'!E20)</f>
        <v>C</v>
      </c>
      <c r="I20" s="1181">
        <f>IF(OR('ФАСАД Рязань'!$T$6="Завод 'ТЕХНО' г.Рязань",'ФАСАД Рязань'!$T$6="Завод 'ТЕХНО' г.Заинск"),'ФАСАД Рязань'!I20,'ФАСАД Юрга'!I20)</f>
        <v>130.2336</v>
      </c>
      <c r="J20" s="177">
        <v>390.70079999999996</v>
      </c>
      <c r="K20" s="97">
        <v>2</v>
      </c>
      <c r="L20" s="166">
        <f t="shared" si="3"/>
        <v>1.44</v>
      </c>
      <c r="M20" s="169">
        <f t="shared" si="4"/>
        <v>0.24479999999999999</v>
      </c>
      <c r="N20" s="97">
        <v>28</v>
      </c>
      <c r="O20" s="126">
        <f t="shared" si="5"/>
        <v>6.8544</v>
      </c>
      <c r="P20" s="231">
        <f t="shared" si="6"/>
        <v>75.398399999999995</v>
      </c>
      <c r="Q20" s="266"/>
      <c r="R20" s="88">
        <f t="shared" si="1"/>
        <v>872.22239999999999</v>
      </c>
      <c r="S20" s="786">
        <f>IFERROR(IF(OR('ФАСАД Рязань'!$T$6="Завод 'ТЕХНО' г.Рязань",'ФАСАД Рязань'!$T$6="Завод 'ТЕХНО' г.Заинск"),IF('ФАСАД Рязань'!$T$6="Завод 'ТЕХНО' г.Рязань",'ФАСАД Рязань'!R20*(1-'ФАСАД Рязань'!$V$5-'ФАСАД Рязань'!V20)+IFERROR(SEARCH("комп",J20)/SEARCH("комп",J20)*'ФАСАД Рязань'!$R$5,'ФАСАД Рязань'!S$5),'ФАСАД Заинск'!R20*(1-'ФАСАД Рязань'!$V$5-'ФАСАД Рязань'!V20)+IFERROR(SEARCH("комп",J20)/SEARCH("комп",J20)*'ФАСАД Рязань'!$R$5,'ФАСАД Рязань'!S$5)),'ФАСАД Юрга'!R20*(1-'ФАСАД Рязань'!$V$5-'ФАСАД Рязань'!V20)+IFERROR(SEARCH("комп",J20)/SEARCH("комп",J20)*'ФАСАД Рязань'!$R$5,'ФАСАД Рязань'!S$5)),"нет")</f>
        <v>3563</v>
      </c>
      <c r="T20" s="101">
        <f t="shared" si="2"/>
        <v>605.71</v>
      </c>
      <c r="U20" s="1221"/>
      <c r="V20" s="1229"/>
      <c r="W20" s="1221"/>
      <c r="X20" s="1154"/>
      <c r="Y20" s="1155"/>
      <c r="Z20" s="1156"/>
      <c r="AA20" s="1157"/>
      <c r="AB20" s="991"/>
      <c r="AC20" s="991"/>
      <c r="AD20" s="1022"/>
      <c r="AE20" s="746"/>
      <c r="AF20" s="82"/>
      <c r="AG20" s="2"/>
    </row>
    <row r="21" spans="1:33" ht="20.100000000000001" customHeight="1" thickBot="1" x14ac:dyDescent="0.3">
      <c r="A21" s="1246"/>
      <c r="B21" s="203">
        <v>1200</v>
      </c>
      <c r="C21" s="204">
        <v>600</v>
      </c>
      <c r="D21" s="209">
        <v>180</v>
      </c>
      <c r="E21" s="263">
        <v>125</v>
      </c>
      <c r="F21" s="263">
        <v>20.093878600823047</v>
      </c>
      <c r="G21" s="264" t="s">
        <v>145</v>
      </c>
      <c r="H21" s="604" t="str">
        <f>IF(OR('ФАСАД Рязань'!$T$6="Завод 'ТЕХНО' г.Рязань",'ФАСАД Рязань'!$T$6="Завод 'ТЕХНО' г.Заинск"),'ФАСАД Рязань'!E21,'ФАСАД Юрга'!E21)</f>
        <v>C</v>
      </c>
      <c r="I21" s="1181">
        <f>IF(OR('ФАСАД Рязань'!$T$6="Завод 'ТЕХНО' г.Рязань",'ФАСАД Рязань'!$T$6="Завод 'ТЕХНО' г.Заинск"),'ФАСАД Рязань'!I21,'ФАСАД Юрга'!I21)</f>
        <v>130.63679999999999</v>
      </c>
      <c r="J21" s="177">
        <v>391.91039999999998</v>
      </c>
      <c r="K21" s="97">
        <v>2</v>
      </c>
      <c r="L21" s="166">
        <f t="shared" si="3"/>
        <v>1.44</v>
      </c>
      <c r="M21" s="169">
        <f t="shared" si="4"/>
        <v>0.25919999999999999</v>
      </c>
      <c r="N21" s="97">
        <v>24</v>
      </c>
      <c r="O21" s="126">
        <f t="shared" si="5"/>
        <v>6.2207999999999997</v>
      </c>
      <c r="P21" s="231">
        <f t="shared" si="6"/>
        <v>68.428799999999995</v>
      </c>
      <c r="Q21" s="266"/>
      <c r="R21" s="88">
        <f t="shared" si="1"/>
        <v>923.52959999999996</v>
      </c>
      <c r="S21" s="786">
        <f>IFERROR(IF(OR('ФАСАД Рязань'!$T$6="Завод 'ТЕХНО' г.Рязань",'ФАСАД Рязань'!$T$6="Завод 'ТЕХНО' г.Заинск"),IF('ФАСАД Рязань'!$T$6="Завод 'ТЕХНО' г.Рязань",'ФАСАД Рязань'!R21*(1-'ФАСАД Рязань'!$V$5-'ФАСАД Рязань'!V21)+IFERROR(SEARCH("комп",J21)/SEARCH("комп",J21)*'ФАСАД Рязань'!$R$5,'ФАСАД Рязань'!S$5),'ФАСАД Заинск'!R21*(1-'ФАСАД Рязань'!$V$5-'ФАСАД Рязань'!V21)+IFERROR(SEARCH("комп",J21)/SEARCH("комп",J21)*'ФАСАД Рязань'!$R$5,'ФАСАД Рязань'!S$5)),'ФАСАД Юрга'!R21*(1-'ФАСАД Рязань'!$V$5-'ФАСАД Рязань'!V21)+IFERROR(SEARCH("комп",J21)/SEARCH("комп",J21)*'ФАСАД Рязань'!$R$5,'ФАСАД Рязань'!S$5)),"нет")</f>
        <v>3563</v>
      </c>
      <c r="T21" s="101">
        <f t="shared" si="2"/>
        <v>641.34</v>
      </c>
      <c r="U21" s="1221"/>
      <c r="V21" s="1229"/>
      <c r="W21" s="1221"/>
      <c r="X21" s="1154"/>
      <c r="Y21" s="1155"/>
      <c r="Z21" s="1156"/>
      <c r="AA21" s="1157"/>
      <c r="AB21" s="991"/>
      <c r="AC21" s="991"/>
      <c r="AD21" s="1022"/>
      <c r="AE21" s="746"/>
      <c r="AF21" s="82"/>
      <c r="AG21" s="2"/>
    </row>
    <row r="22" spans="1:33" ht="20.100000000000001" customHeight="1" thickBot="1" x14ac:dyDescent="0.3">
      <c r="A22" s="1246"/>
      <c r="B22" s="203">
        <v>1200</v>
      </c>
      <c r="C22" s="204">
        <v>600</v>
      </c>
      <c r="D22" s="209">
        <v>190</v>
      </c>
      <c r="E22" s="263">
        <v>125</v>
      </c>
      <c r="F22" s="263">
        <v>19.036306042884995</v>
      </c>
      <c r="G22" s="264" t="s">
        <v>146</v>
      </c>
      <c r="H22" s="604" t="str">
        <f>IF(OR('ФАСАД Рязань'!$T$6="Завод 'ТЕХНО' г.Рязань",'ФАСАД Рязань'!$T$6="Завод 'ТЕХНО' г.Заинск"),'ФАСАД Рязань'!E22,'ФАСАД Юрга'!E22)</f>
        <v>C</v>
      </c>
      <c r="I22" s="1181">
        <f>IF(OR('ФАСАД Рязань'!$T$6="Завод 'ТЕХНО' г.Рязань",'ФАСАД Рязань'!$T$6="Завод 'ТЕХНО' г.Заинск"),'ФАСАД Рязань'!I22,'ФАСАД Юрга'!I22)</f>
        <v>131.32799999999997</v>
      </c>
      <c r="J22" s="177">
        <v>413.68319999999994</v>
      </c>
      <c r="K22" s="97">
        <v>2</v>
      </c>
      <c r="L22" s="166">
        <f t="shared" si="3"/>
        <v>1.44</v>
      </c>
      <c r="M22" s="169">
        <f t="shared" si="4"/>
        <v>0.27359999999999995</v>
      </c>
      <c r="N22" s="97">
        <v>24</v>
      </c>
      <c r="O22" s="126">
        <f t="shared" si="5"/>
        <v>6.5663999999999989</v>
      </c>
      <c r="P22" s="231">
        <f t="shared" si="6"/>
        <v>72.230399999999989</v>
      </c>
      <c r="Q22" s="266"/>
      <c r="R22" s="88">
        <f t="shared" si="1"/>
        <v>974.83679999999981</v>
      </c>
      <c r="S22" s="786">
        <f>IFERROR(IF(OR('ФАСАД Рязань'!$T$6="Завод 'ТЕХНО' г.Рязань",'ФАСАД Рязань'!$T$6="Завод 'ТЕХНО' г.Заинск"),IF('ФАСАД Рязань'!$T$6="Завод 'ТЕХНО' г.Рязань",'ФАСАД Рязань'!R22*(1-'ФАСАД Рязань'!$V$5-'ФАСАД Рязань'!V22)+IFERROR(SEARCH("комп",J22)/SEARCH("комп",J22)*'ФАСАД Рязань'!$R$5,'ФАСАД Рязань'!S$5),'ФАСАД Заинск'!R22*(1-'ФАСАД Рязань'!$V$5-'ФАСАД Рязань'!V22)+IFERROR(SEARCH("комп",J22)/SEARCH("комп",J22)*'ФАСАД Рязань'!$R$5,'ФАСАД Рязань'!S$5)),'ФАСАД Юрга'!R22*(1-'ФАСАД Рязань'!$V$5-'ФАСАД Рязань'!V22)+IFERROR(SEARCH("комп",J22)/SEARCH("комп",J22)*'ФАСАД Рязань'!$R$5,'ФАСАД Рязань'!S$5)),"нет")</f>
        <v>3563</v>
      </c>
      <c r="T22" s="101">
        <f t="shared" si="2"/>
        <v>676.97</v>
      </c>
      <c r="U22" s="1221"/>
      <c r="V22" s="1229"/>
      <c r="W22" s="1221"/>
      <c r="X22" s="1154"/>
      <c r="Y22" s="1155"/>
      <c r="Z22" s="1156"/>
      <c r="AA22" s="1157"/>
      <c r="AB22" s="991"/>
      <c r="AC22" s="991"/>
      <c r="AD22" s="1022"/>
      <c r="AE22" s="746"/>
      <c r="AF22" s="82"/>
      <c r="AG22" s="2"/>
    </row>
    <row r="23" spans="1:33" ht="20.100000000000001" customHeight="1" thickBot="1" x14ac:dyDescent="0.3">
      <c r="A23" s="1247"/>
      <c r="B23" s="240">
        <v>1200</v>
      </c>
      <c r="C23" s="241">
        <v>600</v>
      </c>
      <c r="D23" s="242">
        <v>200</v>
      </c>
      <c r="E23" s="263">
        <v>125</v>
      </c>
      <c r="F23" s="289">
        <v>18.084490740740744</v>
      </c>
      <c r="G23" s="317" t="s">
        <v>147</v>
      </c>
      <c r="H23" s="604" t="str">
        <f>IF(OR('ФАСАД Рязань'!$T$6="Завод 'ТЕХНО' г.Рязань",'ФАСАД Рязань'!$T$6="Завод 'ТЕХНО' г.Заинск"),'ФАСАД Рязань'!E23,'ФАСАД Юрга'!E23)</f>
        <v>C</v>
      </c>
      <c r="I23" s="1182">
        <f>IF(OR('ФАСАД Рязань'!$T$6="Завод 'ТЕХНО' г.Рязань",'ФАСАД Рязань'!$T$6="Завод 'ТЕХНО' г.Заинск"),'ФАСАД Рязань'!I23,'ФАСАД Юрга'!I23)</f>
        <v>131.32799999999997</v>
      </c>
      <c r="J23" s="445">
        <v>435.45599999999996</v>
      </c>
      <c r="K23" s="306">
        <v>2</v>
      </c>
      <c r="L23" s="167">
        <f t="shared" si="3"/>
        <v>1.44</v>
      </c>
      <c r="M23" s="129">
        <f t="shared" si="4"/>
        <v>0.28799999999999998</v>
      </c>
      <c r="N23" s="306">
        <v>24</v>
      </c>
      <c r="O23" s="129">
        <f t="shared" si="5"/>
        <v>6.911999999999999</v>
      </c>
      <c r="P23" s="260">
        <f t="shared" si="6"/>
        <v>76.031999999999982</v>
      </c>
      <c r="Q23" s="308"/>
      <c r="R23" s="479">
        <f t="shared" si="1"/>
        <v>1026.144</v>
      </c>
      <c r="S23" s="787">
        <f>IFERROR(IF(OR('ФАСАД Рязань'!$T$6="Завод 'ТЕХНО' г.Рязань",'ФАСАД Рязань'!$T$6="Завод 'ТЕХНО' г.Заинск"),IF('ФАСАД Рязань'!$T$6="Завод 'ТЕХНО' г.Рязань",'ФАСАД Рязань'!R23*(1-'ФАСАД Рязань'!$V$5-'ФАСАД Рязань'!V23)+IFERROR(SEARCH("комп",J23)/SEARCH("комп",J23)*'ФАСАД Рязань'!$R$5,'ФАСАД Рязань'!S$5),'ФАСАД Заинск'!R23*(1-'ФАСАД Рязань'!$V$5-'ФАСАД Рязань'!V23)+IFERROR(SEARCH("комп",J23)/SEARCH("комп",J23)*'ФАСАД Рязань'!$R$5,'ФАСАД Рязань'!S$5)),'ФАСАД Юрга'!R23*(1-'ФАСАД Рязань'!$V$5-'ФАСАД Рязань'!V23)+IFERROR(SEARCH("комп",J23)/SEARCH("комп",J23)*'ФАСАД Рязань'!$R$5,'ФАСАД Рязань'!S$5)),"нет")</f>
        <v>3563</v>
      </c>
      <c r="T23" s="102">
        <f t="shared" si="2"/>
        <v>712.6</v>
      </c>
      <c r="U23" s="1221"/>
      <c r="V23" s="1229"/>
      <c r="W23" s="1221"/>
      <c r="X23" s="1154"/>
      <c r="Y23" s="1155"/>
      <c r="Z23" s="1156"/>
      <c r="AA23" s="1157"/>
      <c r="AB23" s="991"/>
      <c r="AC23" s="991"/>
      <c r="AD23" s="1022"/>
      <c r="AE23" s="746"/>
      <c r="AF23" s="82"/>
      <c r="AG23" s="2"/>
    </row>
    <row r="24" spans="1:33" ht="20.100000000000001" customHeight="1" thickBot="1" x14ac:dyDescent="0.3">
      <c r="A24" s="35" t="s">
        <v>11</v>
      </c>
      <c r="B24" s="252">
        <v>1200</v>
      </c>
      <c r="C24" s="250">
        <v>600</v>
      </c>
      <c r="D24" s="251">
        <v>50</v>
      </c>
      <c r="E24" s="278"/>
      <c r="F24" s="319">
        <v>0</v>
      </c>
      <c r="G24" s="310" t="s">
        <v>148</v>
      </c>
      <c r="H24" s="604" t="str">
        <f>IF(OR('ФАСАД Рязань'!$T$6="Завод 'ТЕХНО' г.Рязань",'ФАСАД Рязань'!$T$6="Завод 'ТЕХНО' г.Заинск"),'ФАСАД Рязань'!E24,'ФАСАД Юрга'!E24)</f>
        <v>Б</v>
      </c>
      <c r="I24" s="1183" t="str">
        <f>IF(OR('ФАСАД Рязань'!$T$6="Завод 'ТЕХНО' г.Рязань",'ФАСАД Рязань'!$T$6="Завод 'ТЕХНО' г.Заинск"),'ФАСАД Рязань'!I24,'ФАСАД Юрга'!I24)</f>
        <v xml:space="preserve"> </v>
      </c>
      <c r="J24" s="178"/>
      <c r="K24" s="311">
        <v>6</v>
      </c>
      <c r="L24" s="168">
        <f t="shared" si="3"/>
        <v>4.32</v>
      </c>
      <c r="M24" s="265">
        <f t="shared" si="4"/>
        <v>0.216</v>
      </c>
      <c r="N24" s="311">
        <v>32</v>
      </c>
      <c r="O24" s="132">
        <f t="shared" si="5"/>
        <v>6.9119999999999999</v>
      </c>
      <c r="P24" s="223">
        <f t="shared" si="6"/>
        <v>76.031999999999996</v>
      </c>
      <c r="Q24" s="321"/>
      <c r="R24" s="88">
        <f t="shared" si="1"/>
        <v>856.00800000000004</v>
      </c>
      <c r="S24" s="786">
        <f>IFERROR(IF(OR('ФАСАД Рязань'!$T$6="Завод 'ТЕХНО' г.Рязань",'ФАСАД Рязань'!$T$6="Завод 'ТЕХНО' г.Заинск"),IF('ФАСАД Рязань'!$T$6="Завод 'ТЕХНО' г.Рязань",'ФАСАД Рязань'!R24*(1-'ФАСАД Рязань'!$V$5-'ФАСАД Рязань'!V24)+IFERROR(SEARCH("комп",J24)/SEARCH("комп",J24)*'ФАСАД Рязань'!$R$5,'ФАСАД Рязань'!S$5),'ФАСАД Заинск'!R24*(1-'ФАСАД Рязань'!$V$5-'ФАСАД Рязань'!V24)+IFERROR(SEARCH("комп",J24)/SEARCH("комп",J24)*'ФАСАД Рязань'!$R$5,'ФАСАД Рязань'!S$5)),'ФАСАД Юрга'!R24*(1-'ФАСАД Рязань'!$V$5-'ФАСАД Рязань'!V24)+IFERROR(SEARCH("комп",J24)/SEARCH("комп",J24)*'ФАСАД Рязань'!$R$5,'ФАСАД Рязань'!S$5)),"нет")</f>
        <v>3963</v>
      </c>
      <c r="T24" s="101">
        <f t="shared" si="2"/>
        <v>198.15</v>
      </c>
      <c r="U24" s="1221"/>
      <c r="V24" s="1229"/>
      <c r="W24" s="1221"/>
      <c r="X24" s="1154"/>
      <c r="Y24" s="1155"/>
      <c r="Z24" s="1156"/>
      <c r="AA24" s="1157"/>
      <c r="AB24" s="991"/>
      <c r="AC24" s="991"/>
      <c r="AD24" s="1022"/>
      <c r="AE24" s="1104"/>
      <c r="AF24" s="82"/>
      <c r="AG24" s="2"/>
    </row>
    <row r="25" spans="1:33" ht="20.100000000000001" customHeight="1" thickBot="1" x14ac:dyDescent="0.3">
      <c r="A25" s="1246" t="s">
        <v>27</v>
      </c>
      <c r="B25" s="203">
        <v>1200</v>
      </c>
      <c r="C25" s="204">
        <v>600</v>
      </c>
      <c r="D25" s="209">
        <v>60</v>
      </c>
      <c r="E25" s="263">
        <v>111.11111111111111</v>
      </c>
      <c r="F25" s="263">
        <v>16.075102880658438</v>
      </c>
      <c r="G25" s="264" t="s">
        <v>149</v>
      </c>
      <c r="H25" s="604" t="str">
        <f>IF(OR('ФАСАД Рязань'!$T$6="Завод 'ТЕХНО' г.Рязань",'ФАСАД Рязань'!$T$6="Завод 'ТЕХНО' г.Заинск"),'ФАСАД Рязань'!E25,'ФАСАД Юрга'!E25)</f>
        <v>C</v>
      </c>
      <c r="I25" s="1181">
        <f>IF(OR('ФАСАД Рязань'!$T$6="Завод 'ТЕХНО' г.Рязань",'ФАСАД Рязань'!$T$6="Завод 'ТЕХНО' г.Заинск"),'ФАСАД Рязань'!I25,'ФАСАД Юрга'!I25)</f>
        <v>117.504</v>
      </c>
      <c r="J25" s="177">
        <v>352.512</v>
      </c>
      <c r="K25" s="97">
        <v>5</v>
      </c>
      <c r="L25" s="166">
        <f t="shared" si="3"/>
        <v>3.6</v>
      </c>
      <c r="M25" s="169">
        <f t="shared" si="4"/>
        <v>0.216</v>
      </c>
      <c r="N25" s="97">
        <v>32</v>
      </c>
      <c r="O25" s="126">
        <f t="shared" si="5"/>
        <v>6.9119999999999999</v>
      </c>
      <c r="P25" s="231">
        <f t="shared" si="6"/>
        <v>76.031999999999996</v>
      </c>
      <c r="Q25" s="266"/>
      <c r="R25" s="88">
        <f t="shared" si="1"/>
        <v>856.00800000000004</v>
      </c>
      <c r="S25" s="786">
        <f>IFERROR(IF(OR('ФАСАД Рязань'!$T$6="Завод 'ТЕХНО' г.Рязань",'ФАСАД Рязань'!$T$6="Завод 'ТЕХНО' г.Заинск"),IF('ФАСАД Рязань'!$T$6="Завод 'ТЕХНО' г.Рязань",'ФАСАД Рязань'!R25*(1-'ФАСАД Рязань'!$V$5-'ФАСАД Рязань'!V25)+IFERROR(SEARCH("комп",J25)/SEARCH("комп",J25)*'ФАСАД Рязань'!$R$5,'ФАСАД Рязань'!S$5),'ФАСАД Заинск'!R25*(1-'ФАСАД Рязань'!$V$5-'ФАСАД Рязань'!V25)+IFERROR(SEARCH("комп",J25)/SEARCH("комп",J25)*'ФАСАД Рязань'!$R$5,'ФАСАД Рязань'!S$5)),'ФАСАД Юрга'!R25*(1-'ФАСАД Рязань'!$V$5-'ФАСАД Рязань'!V25)+IFERROR(SEARCH("комп",J25)/SEARCH("комп",J25)*'ФАСАД Рязань'!$R$5,'ФАСАД Рязань'!S$5)),"нет")</f>
        <v>3963</v>
      </c>
      <c r="T25" s="101">
        <f t="shared" si="2"/>
        <v>237.78</v>
      </c>
      <c r="U25" s="1221"/>
      <c r="V25" s="1229"/>
      <c r="W25" s="1221"/>
      <c r="X25" s="1154"/>
      <c r="Y25" s="1155"/>
      <c r="Z25" s="1156"/>
      <c r="AA25" s="1157"/>
      <c r="AB25" s="991"/>
      <c r="AC25" s="991"/>
      <c r="AD25" s="1022"/>
      <c r="AE25" s="746"/>
      <c r="AF25" s="82"/>
      <c r="AG25" s="2"/>
    </row>
    <row r="26" spans="1:33" ht="20.100000000000001" customHeight="1" thickBot="1" x14ac:dyDescent="0.3">
      <c r="A26" s="1246"/>
      <c r="B26" s="203">
        <v>1200</v>
      </c>
      <c r="C26" s="204">
        <v>600</v>
      </c>
      <c r="D26" s="209">
        <v>70</v>
      </c>
      <c r="E26" s="263">
        <v>111.11111111111111</v>
      </c>
      <c r="F26" s="263">
        <v>17.223324514991184</v>
      </c>
      <c r="G26" s="264" t="s">
        <v>150</v>
      </c>
      <c r="H26" s="604" t="str">
        <f>IF(OR('ФАСАД Рязань'!$T$6="Завод 'ТЕХНО' г.Рязань",'ФАСАД Рязань'!$T$6="Завод 'ТЕХНО' г.Заинск"),'ФАСАД Рязань'!E26,'ФАСАД Юрга'!E26)</f>
        <v>C</v>
      </c>
      <c r="I26" s="1181">
        <f>IF(OR('ФАСАД Рязань'!$T$6="Завод 'ТЕХНО' г.Рязань",'ФАСАД Рязань'!$T$6="Завод 'ТЕХНО' г.Заинск"),'ФАСАД Рязань'!I26,'ФАСАД Юрга'!I26)</f>
        <v>116.1216</v>
      </c>
      <c r="J26" s="177">
        <v>348.3648</v>
      </c>
      <c r="K26" s="97">
        <v>4</v>
      </c>
      <c r="L26" s="166">
        <f t="shared" si="3"/>
        <v>2.88</v>
      </c>
      <c r="M26" s="169">
        <f t="shared" si="4"/>
        <v>0.2016</v>
      </c>
      <c r="N26" s="97">
        <v>32</v>
      </c>
      <c r="O26" s="126">
        <f t="shared" si="5"/>
        <v>6.4512</v>
      </c>
      <c r="P26" s="231">
        <f t="shared" si="6"/>
        <v>70.963200000000001</v>
      </c>
      <c r="Q26" s="266"/>
      <c r="R26" s="88">
        <f t="shared" si="1"/>
        <v>798.94079999999997</v>
      </c>
      <c r="S26" s="786">
        <f>IFERROR(IF(OR('ФАСАД Рязань'!$T$6="Завод 'ТЕХНО' г.Рязань",'ФАСАД Рязань'!$T$6="Завод 'ТЕХНО' г.Заинск"),IF('ФАСАД Рязань'!$T$6="Завод 'ТЕХНО' г.Рязань",'ФАСАД Рязань'!R26*(1-'ФАСАД Рязань'!$V$5-'ФАСАД Рязань'!V26)+IFERROR(SEARCH("комп",J26)/SEARCH("комп",J26)*'ФАСАД Рязань'!$R$5,'ФАСАД Рязань'!S$5),'ФАСАД Заинск'!R26*(1-'ФАСАД Рязань'!$V$5-'ФАСАД Рязань'!V26)+IFERROR(SEARCH("комп",J26)/SEARCH("комп",J26)*'ФАСАД Рязань'!$R$5,'ФАСАД Рязань'!S$5)),'ФАСАД Юрга'!R26*(1-'ФАСАД Рязань'!$V$5-'ФАСАД Рязань'!V26)+IFERROR(SEARCH("комп",J26)/SEARCH("комп",J26)*'ФАСАД Рязань'!$R$5,'ФАСАД Рязань'!S$5)),"нет")</f>
        <v>3963</v>
      </c>
      <c r="T26" s="101">
        <f t="shared" si="2"/>
        <v>277.41000000000003</v>
      </c>
      <c r="U26" s="1221"/>
      <c r="V26" s="1229"/>
      <c r="W26" s="1221"/>
      <c r="X26" s="1154"/>
      <c r="Y26" s="1155"/>
      <c r="Z26" s="1156"/>
      <c r="AA26" s="1157"/>
      <c r="AB26" s="991"/>
      <c r="AC26" s="991"/>
      <c r="AD26" s="1022"/>
      <c r="AE26" s="746"/>
      <c r="AF26" s="82"/>
      <c r="AG26" s="2"/>
    </row>
    <row r="27" spans="1:33" ht="20.100000000000001" customHeight="1" thickBot="1" x14ac:dyDescent="0.3">
      <c r="A27" s="1246"/>
      <c r="B27" s="203">
        <v>1200</v>
      </c>
      <c r="C27" s="204">
        <v>600</v>
      </c>
      <c r="D27" s="209">
        <v>80</v>
      </c>
      <c r="E27" s="263">
        <v>111.11111111111111</v>
      </c>
      <c r="F27" s="263">
        <v>16.075102880658438</v>
      </c>
      <c r="G27" s="264" t="s">
        <v>151</v>
      </c>
      <c r="H27" s="604" t="str">
        <f>IF(OR('ФАСАД Рязань'!$T$6="Завод 'ТЕХНО' г.Рязань",'ФАСАД Рязань'!$T$6="Завод 'ТЕХНО' г.Заинск"),'ФАСАД Рязань'!E27,'ФАСАД Юрга'!E27)</f>
        <v>C</v>
      </c>
      <c r="I27" s="1181">
        <f>IF(OR('ФАСАД Рязань'!$T$6="Завод 'ТЕХНО' г.Рязань",'ФАСАД Рязань'!$T$6="Завод 'ТЕХНО' г.Заинск"),'ФАСАД Рязань'!I27,'ФАСАД Юрга'!I27)</f>
        <v>117.50399999999999</v>
      </c>
      <c r="J27" s="177">
        <v>352.51199999999994</v>
      </c>
      <c r="K27" s="97">
        <v>5</v>
      </c>
      <c r="L27" s="166">
        <f t="shared" si="3"/>
        <v>3.6</v>
      </c>
      <c r="M27" s="169">
        <f t="shared" si="4"/>
        <v>0.28799999999999998</v>
      </c>
      <c r="N27" s="97">
        <v>24</v>
      </c>
      <c r="O27" s="126">
        <f t="shared" si="5"/>
        <v>6.911999999999999</v>
      </c>
      <c r="P27" s="231">
        <f t="shared" si="6"/>
        <v>76.031999999999982</v>
      </c>
      <c r="Q27" s="266"/>
      <c r="R27" s="88">
        <f t="shared" si="1"/>
        <v>1141.3439999999998</v>
      </c>
      <c r="S27" s="786">
        <f>IFERROR(IF(OR('ФАСАД Рязань'!$T$6="Завод 'ТЕХНО' г.Рязань",'ФАСАД Рязань'!$T$6="Завод 'ТЕХНО' г.Заинск"),IF('ФАСАД Рязань'!$T$6="Завод 'ТЕХНО' г.Рязань",'ФАСАД Рязань'!R27*(1-'ФАСАД Рязань'!$V$5-'ФАСАД Рязань'!V27)+IFERROR(SEARCH("комп",J27)/SEARCH("комп",J27)*'ФАСАД Рязань'!$R$5,'ФАСАД Рязань'!S$5),'ФАСАД Заинск'!R27*(1-'ФАСАД Рязань'!$V$5-'ФАСАД Рязань'!V27)+IFERROR(SEARCH("комп",J27)/SEARCH("комп",J27)*'ФАСАД Рязань'!$R$5,'ФАСАД Рязань'!S$5)),'ФАСАД Юрга'!R27*(1-'ФАСАД Рязань'!$V$5-'ФАСАД Рязань'!V27)+IFERROR(SEARCH("комп",J27)/SEARCH("комп",J27)*'ФАСАД Рязань'!$R$5,'ФАСАД Рязань'!S$5)),"нет")</f>
        <v>3963</v>
      </c>
      <c r="T27" s="101">
        <f t="shared" si="2"/>
        <v>317.04000000000002</v>
      </c>
      <c r="U27" s="1221"/>
      <c r="V27" s="1229"/>
      <c r="W27" s="1221"/>
      <c r="X27" s="1154"/>
      <c r="Y27" s="1155"/>
      <c r="Z27" s="1156"/>
      <c r="AA27" s="1157"/>
      <c r="AB27" s="991"/>
      <c r="AC27" s="991"/>
      <c r="AD27" s="1022"/>
      <c r="AE27" s="746"/>
      <c r="AF27" s="82"/>
      <c r="AG27" s="2"/>
    </row>
    <row r="28" spans="1:33" ht="20.100000000000001" customHeight="1" thickBot="1" x14ac:dyDescent="0.3">
      <c r="A28" s="1246"/>
      <c r="B28" s="203">
        <v>1200</v>
      </c>
      <c r="C28" s="204">
        <v>600</v>
      </c>
      <c r="D28" s="209">
        <v>90</v>
      </c>
      <c r="E28" s="263">
        <v>111.11111111111111</v>
      </c>
      <c r="F28" s="263">
        <v>17.861225422953819</v>
      </c>
      <c r="G28" s="264" t="s">
        <v>249</v>
      </c>
      <c r="H28" s="604" t="str">
        <f>IF(OR('ФАСАД Рязань'!$T$6="Завод 'ТЕХНО' г.Рязань",'ФАСАД Рязань'!$T$6="Завод 'ТЕХНО' г.Заинск"),'ФАСАД Рязань'!E28,'ФАСАД Юрга'!E28)</f>
        <v>C</v>
      </c>
      <c r="I28" s="1181">
        <f>IF(OR('ФАСАД Рязань'!$T$6="Завод 'ТЕХНО' г.Рязань",'ФАСАД Рязань'!$T$6="Завод 'ТЕХНО' г.Заинск"),'ФАСАД Рязань'!I28,'ФАСАД Юрга'!I28)</f>
        <v>111.97439999999999</v>
      </c>
      <c r="J28" s="177">
        <v>335.92319999999995</v>
      </c>
      <c r="K28" s="97">
        <v>4</v>
      </c>
      <c r="L28" s="166">
        <f t="shared" ref="L28:L91" si="7">B28*C28*K28/1000000</f>
        <v>2.88</v>
      </c>
      <c r="M28" s="169">
        <f t="shared" ref="M28:M91" si="8">D28*L28/1000</f>
        <v>0.25919999999999999</v>
      </c>
      <c r="N28" s="97">
        <v>24</v>
      </c>
      <c r="O28" s="126">
        <f t="shared" si="5"/>
        <v>6.2207999999999997</v>
      </c>
      <c r="P28" s="231">
        <f t="shared" si="6"/>
        <v>68.428799999999995</v>
      </c>
      <c r="Q28" s="266"/>
      <c r="R28" s="88">
        <f t="shared" si="1"/>
        <v>1027.2095999999999</v>
      </c>
      <c r="S28" s="786">
        <f>IFERROR(IF(OR('ФАСАД Рязань'!$T$6="Завод 'ТЕХНО' г.Рязань",'ФАСАД Рязань'!$T$6="Завод 'ТЕХНО' г.Заинск"),IF('ФАСАД Рязань'!$T$6="Завод 'ТЕХНО' г.Рязань",'ФАСАД Рязань'!R28*(1-'ФАСАД Рязань'!$V$5-'ФАСАД Рязань'!V28)+IFERROR(SEARCH("комп",J28)/SEARCH("комп",J28)*'ФАСАД Рязань'!$R$5,'ФАСАД Рязань'!S$5),'ФАСАД Заинск'!R28*(1-'ФАСАД Рязань'!$V$5-'ФАСАД Рязань'!V28)+IFERROR(SEARCH("комп",J28)/SEARCH("комп",J28)*'ФАСАД Рязань'!$R$5,'ФАСАД Рязань'!S$5)),'ФАСАД Юрга'!R28*(1-'ФАСАД Рязань'!$V$5-'ФАСАД Рязань'!V28)+IFERROR(SEARCH("комп",J28)/SEARCH("комп",J28)*'ФАСАД Рязань'!$R$5,'ФАСАД Рязань'!S$5)),"нет")</f>
        <v>3963</v>
      </c>
      <c r="T28" s="101">
        <f t="shared" si="2"/>
        <v>356.67</v>
      </c>
      <c r="U28" s="1221"/>
      <c r="V28" s="1229"/>
      <c r="W28" s="1221"/>
      <c r="X28" s="1154"/>
      <c r="Y28" s="1155"/>
      <c r="Z28" s="1156"/>
      <c r="AA28" s="1157"/>
      <c r="AB28" s="991"/>
      <c r="AC28" s="991"/>
      <c r="AD28" s="1022"/>
      <c r="AE28" s="746"/>
      <c r="AF28" s="82"/>
      <c r="AG28" s="2"/>
    </row>
    <row r="29" spans="1:33" ht="20.100000000000001" customHeight="1" thickBot="1" x14ac:dyDescent="0.3">
      <c r="A29" s="1246"/>
      <c r="B29" s="203">
        <v>1200</v>
      </c>
      <c r="C29" s="204">
        <v>600</v>
      </c>
      <c r="D29" s="209">
        <v>100</v>
      </c>
      <c r="E29" s="263"/>
      <c r="F29" s="263">
        <v>0</v>
      </c>
      <c r="G29" s="264" t="s">
        <v>152</v>
      </c>
      <c r="H29" s="604" t="str">
        <f>IF(OR('ФАСАД Рязань'!$T$6="Завод 'ТЕХНО' г.Рязань",'ФАСАД Рязань'!$T$6="Завод 'ТЕХНО' г.Заинск"),'ФАСАД Рязань'!E29,'ФАСАД Юрга'!E29)</f>
        <v>C</v>
      </c>
      <c r="I29" s="1181">
        <f>IF(OR('ФАСАД Рязань'!$T$6="Завод 'ТЕХНО' г.Рязань",'ФАСАД Рязань'!$T$6="Завод 'ТЕХНО' г.Заинск"),'ФАСАД Рязань'!I29,'ФАСАД Юрга'!I29)</f>
        <v>117.50399999999999</v>
      </c>
      <c r="J29" s="177"/>
      <c r="K29" s="97">
        <v>4</v>
      </c>
      <c r="L29" s="166">
        <f t="shared" si="7"/>
        <v>2.88</v>
      </c>
      <c r="M29" s="169">
        <f t="shared" si="8"/>
        <v>0.28799999999999998</v>
      </c>
      <c r="N29" s="97">
        <v>24</v>
      </c>
      <c r="O29" s="126">
        <f t="shared" si="5"/>
        <v>6.911999999999999</v>
      </c>
      <c r="P29" s="231">
        <f t="shared" si="6"/>
        <v>76.031999999999982</v>
      </c>
      <c r="Q29" s="266"/>
      <c r="R29" s="88">
        <f t="shared" si="1"/>
        <v>1141.3439999999998</v>
      </c>
      <c r="S29" s="786">
        <f>IFERROR(IF(OR('ФАСАД Рязань'!$T$6="Завод 'ТЕХНО' г.Рязань",'ФАСАД Рязань'!$T$6="Завод 'ТЕХНО' г.Заинск"),IF('ФАСАД Рязань'!$T$6="Завод 'ТЕХНО' г.Рязань",'ФАСАД Рязань'!R29*(1-'ФАСАД Рязань'!$V$5-'ФАСАД Рязань'!V29)+IFERROR(SEARCH("комп",J29)/SEARCH("комп",J29)*'ФАСАД Рязань'!$R$5,'ФАСАД Рязань'!S$5),'ФАСАД Заинск'!R29*(1-'ФАСАД Рязань'!$V$5-'ФАСАД Рязань'!V29)+IFERROR(SEARCH("комп",J29)/SEARCH("комп",J29)*'ФАСАД Рязань'!$R$5,'ФАСАД Рязань'!S$5)),'ФАСАД Юрга'!R29*(1-'ФАСАД Рязань'!$V$5-'ФАСАД Рязань'!V29)+IFERROR(SEARCH("комп",J29)/SEARCH("комп",J29)*'ФАСАД Рязань'!$R$5,'ФАСАД Рязань'!S$5)),"нет")</f>
        <v>3963</v>
      </c>
      <c r="T29" s="101">
        <f t="shared" si="2"/>
        <v>396.3</v>
      </c>
      <c r="U29" s="1221"/>
      <c r="V29" s="1229"/>
      <c r="W29" s="1221"/>
      <c r="X29" s="1154"/>
      <c r="Y29" s="1155"/>
      <c r="Z29" s="1156"/>
      <c r="AA29" s="1157"/>
      <c r="AB29" s="991"/>
      <c r="AC29" s="991"/>
      <c r="AD29" s="1022"/>
      <c r="AE29" s="1104"/>
      <c r="AF29" s="82"/>
      <c r="AG29" s="2"/>
    </row>
    <row r="30" spans="1:33" ht="20.100000000000001" customHeight="1" thickBot="1" x14ac:dyDescent="0.3">
      <c r="A30" s="1246"/>
      <c r="B30" s="203">
        <v>1200</v>
      </c>
      <c r="C30" s="204">
        <v>600</v>
      </c>
      <c r="D30" s="209">
        <v>110</v>
      </c>
      <c r="E30" s="263">
        <v>111.11111111111111</v>
      </c>
      <c r="F30" s="263">
        <v>16.701405590294481</v>
      </c>
      <c r="G30" s="264" t="s">
        <v>250</v>
      </c>
      <c r="H30" s="604" t="str">
        <f>IF(OR('ФАСАД Рязань'!$T$6="Завод 'ТЕХНО' г.Рязань",'ФАСАД Рязань'!$T$6="Завод 'ТЕХНО' г.Заинск"),'ФАСАД Рязань'!E30,'ФАСАД Юрга'!E30)</f>
        <v>C</v>
      </c>
      <c r="I30" s="1181">
        <f>IF(OR('ФАСАД Рязань'!$T$6="Завод 'ТЕХНО' г.Рязань",'ФАСАД Рязань'!$T$6="Завод 'ТЕХНО' г.Заинск"),'ФАСАД Рязань'!I30,'ФАСАД Юрга'!I30)</f>
        <v>113.09760000000001</v>
      </c>
      <c r="J30" s="177">
        <v>339.2928</v>
      </c>
      <c r="K30" s="97">
        <v>3</v>
      </c>
      <c r="L30" s="166">
        <f t="shared" si="7"/>
        <v>2.16</v>
      </c>
      <c r="M30" s="169">
        <f t="shared" si="8"/>
        <v>0.23760000000000003</v>
      </c>
      <c r="N30" s="97">
        <v>28</v>
      </c>
      <c r="O30" s="126">
        <f t="shared" si="5"/>
        <v>6.6528000000000009</v>
      </c>
      <c r="P30" s="231">
        <f t="shared" si="6"/>
        <v>73.180800000000005</v>
      </c>
      <c r="Q30" s="266"/>
      <c r="R30" s="88">
        <f t="shared" si="1"/>
        <v>941.60880000000009</v>
      </c>
      <c r="S30" s="786">
        <f>IFERROR(IF(OR('ФАСАД Рязань'!$T$6="Завод 'ТЕХНО' г.Рязань",'ФАСАД Рязань'!$T$6="Завод 'ТЕХНО' г.Заинск"),IF('ФАСАД Рязань'!$T$6="Завод 'ТЕХНО' г.Рязань",'ФАСАД Рязань'!R30*(1-'ФАСАД Рязань'!$V$5-'ФАСАД Рязань'!V30)+IFERROR(SEARCH("комп",J30)/SEARCH("комп",J30)*'ФАСАД Рязань'!$R$5,'ФАСАД Рязань'!S$5),'ФАСАД Заинск'!R30*(1-'ФАСАД Рязань'!$V$5-'ФАСАД Рязань'!V30)+IFERROR(SEARCH("комп",J30)/SEARCH("комп",J30)*'ФАСАД Рязань'!$R$5,'ФАСАД Рязань'!S$5)),'ФАСАД Юрга'!R30*(1-'ФАСАД Рязань'!$V$5-'ФАСАД Рязань'!V30)+IFERROR(SEARCH("комп",J30)/SEARCH("комп",J30)*'ФАСАД Рязань'!$R$5,'ФАСАД Рязань'!S$5)),"нет")</f>
        <v>3963</v>
      </c>
      <c r="T30" s="101">
        <f t="shared" si="2"/>
        <v>435.93</v>
      </c>
      <c r="U30" s="1221"/>
      <c r="V30" s="1229"/>
      <c r="W30" s="1221"/>
      <c r="X30" s="1154"/>
      <c r="Y30" s="1155"/>
      <c r="Z30" s="1156"/>
      <c r="AA30" s="1157"/>
      <c r="AB30" s="991"/>
      <c r="AC30" s="991"/>
      <c r="AD30" s="1022"/>
      <c r="AE30" s="746"/>
      <c r="AF30" s="82"/>
      <c r="AG30" s="2"/>
    </row>
    <row r="31" spans="1:33" ht="20.100000000000001" customHeight="1" thickBot="1" x14ac:dyDescent="0.3">
      <c r="A31" s="1246"/>
      <c r="B31" s="203">
        <v>1200</v>
      </c>
      <c r="C31" s="204">
        <v>600</v>
      </c>
      <c r="D31" s="209">
        <v>120</v>
      </c>
      <c r="E31" s="263">
        <v>111.11111111111111</v>
      </c>
      <c r="F31" s="263">
        <v>17.861225422953819</v>
      </c>
      <c r="G31" s="1188" t="s">
        <v>748</v>
      </c>
      <c r="H31" s="604" t="str">
        <f>IF(OR('ФАСАД Рязань'!$T$6="Завод 'ТЕХНО' г.Рязань",'ФАСАД Рязань'!$T$6="Завод 'ТЕХНО' г.Заинск"),'ФАСАД Рязань'!E31,'ФАСАД Юрга'!E31)</f>
        <v>C</v>
      </c>
      <c r="I31" s="1181">
        <f>IF(OR('ФАСАД Рязань'!$T$6="Завод 'ТЕХНО' г.Рязань",'ФАСАД Рязань'!$T$6="Завод 'ТЕХНО' г.Заинск"),'ФАСАД Рязань'!I31,'ФАСАД Юрга'!I31)</f>
        <v>117.50399999999999</v>
      </c>
      <c r="J31" s="177">
        <v>317.26079999999996</v>
      </c>
      <c r="K31" s="1191">
        <v>2</v>
      </c>
      <c r="L31" s="166">
        <f t="shared" si="7"/>
        <v>1.44</v>
      </c>
      <c r="M31" s="169">
        <f t="shared" si="8"/>
        <v>0.17279999999999998</v>
      </c>
      <c r="N31" s="97">
        <v>40</v>
      </c>
      <c r="O31" s="126">
        <f t="shared" si="5"/>
        <v>6.911999999999999</v>
      </c>
      <c r="P31" s="1192">
        <f t="shared" si="6"/>
        <v>76.031999999999982</v>
      </c>
      <c r="Q31" s="266"/>
      <c r="R31" s="88">
        <f t="shared" si="1"/>
        <v>684.80639999999994</v>
      </c>
      <c r="S31" s="786">
        <f>IFERROR(IF(OR('ФАСАД Рязань'!$T$6="Завод 'ТЕХНО' г.Рязань",'ФАСАД Рязань'!$T$6="Завод 'ТЕХНО' г.Заинск"),IF('ФАСАД Рязань'!$T$6="Завод 'ТЕХНО' г.Рязань",'ФАСАД Рязань'!R31*(1-'ФАСАД Рязань'!$V$5-'ФАСАД Рязань'!V31)+IFERROR(SEARCH("комп",J31)/SEARCH("комп",J31)*'ФАСАД Рязань'!$R$5,'ФАСАД Рязань'!S$5),'ФАСАД Заинск'!R31*(1-'ФАСАД Рязань'!$V$5-'ФАСАД Рязань'!V31)+IFERROR(SEARCH("комп",J31)/SEARCH("комп",J31)*'ФАСАД Рязань'!$R$5,'ФАСАД Рязань'!S$5)),'ФАСАД Юрга'!R31*(1-'ФАСАД Рязань'!$V$5-'ФАСАД Рязань'!V31)+IFERROR(SEARCH("комп",J31)/SEARCH("комп",J31)*'ФАСАД Рязань'!$R$5,'ФАСАД Рязань'!S$5)),"нет")</f>
        <v>3963</v>
      </c>
      <c r="T31" s="101">
        <f t="shared" si="2"/>
        <v>475.56</v>
      </c>
      <c r="U31" s="1221"/>
      <c r="V31" s="1229"/>
      <c r="W31" s="1221"/>
      <c r="X31" s="1154"/>
      <c r="Y31" s="1155"/>
      <c r="Z31" s="1156"/>
      <c r="AA31" s="1157"/>
      <c r="AB31" s="991"/>
      <c r="AC31" s="991"/>
      <c r="AD31" s="1022"/>
      <c r="AE31" s="746"/>
      <c r="AF31" s="82"/>
      <c r="AG31" s="2"/>
    </row>
    <row r="32" spans="1:33" ht="20.100000000000001" customHeight="1" thickBot="1" x14ac:dyDescent="0.3">
      <c r="A32" s="1246"/>
      <c r="B32" s="203">
        <v>1200</v>
      </c>
      <c r="C32" s="204">
        <v>600</v>
      </c>
      <c r="D32" s="209">
        <v>130</v>
      </c>
      <c r="E32" s="263">
        <v>111.11111111111111</v>
      </c>
      <c r="F32" s="263">
        <v>16.487285005803525</v>
      </c>
      <c r="G32" s="264" t="s">
        <v>251</v>
      </c>
      <c r="H32" s="604" t="str">
        <f>IF(OR('ФАСАД Рязань'!$T$6="Завод 'ТЕХНО' г.Рязань",'ФАСАД Рязань'!$T$6="Завод 'ТЕХНО' г.Заинск"),'ФАСАД Рязань'!E32,'ФАСАД Юрга'!E32)</f>
        <v>C</v>
      </c>
      <c r="I32" s="1181">
        <f>IF(OR('ФАСАД Рязань'!$T$6="Завод 'ТЕХНО' г.Рязань",'ФАСАД Рязань'!$T$6="Завод 'ТЕХНО' г.Заинск"),'ФАСАД Рязань'!I32,'ФАСАД Юрга'!I32)</f>
        <v>114.56639999999999</v>
      </c>
      <c r="J32" s="177">
        <v>343.69920000000002</v>
      </c>
      <c r="K32" s="97">
        <v>2</v>
      </c>
      <c r="L32" s="166">
        <f t="shared" si="7"/>
        <v>1.44</v>
      </c>
      <c r="M32" s="169">
        <f t="shared" si="8"/>
        <v>0.18719999999999998</v>
      </c>
      <c r="N32" s="97">
        <v>36</v>
      </c>
      <c r="O32" s="126">
        <f t="shared" si="5"/>
        <v>6.7391999999999994</v>
      </c>
      <c r="P32" s="231">
        <f t="shared" si="6"/>
        <v>74.131199999999993</v>
      </c>
      <c r="Q32" s="266"/>
      <c r="R32" s="88">
        <f t="shared" si="1"/>
        <v>741.8735999999999</v>
      </c>
      <c r="S32" s="786">
        <f>IFERROR(IF(OR('ФАСАД Рязань'!$T$6="Завод 'ТЕХНО' г.Рязань",'ФАСАД Рязань'!$T$6="Завод 'ТЕХНО' г.Заинск"),IF('ФАСАД Рязань'!$T$6="Завод 'ТЕХНО' г.Рязань",'ФАСАД Рязань'!R32*(1-'ФАСАД Рязань'!$V$5-'ФАСАД Рязань'!V32)+IFERROR(SEARCH("комп",J32)/SEARCH("комп",J32)*'ФАСАД Рязань'!$R$5,'ФАСАД Рязань'!S$5),'ФАСАД Заинск'!R32*(1-'ФАСАД Рязань'!$V$5-'ФАСАД Рязань'!V32)+IFERROR(SEARCH("комп",J32)/SEARCH("комп",J32)*'ФАСАД Рязань'!$R$5,'ФАСАД Рязань'!S$5)),'ФАСАД Юрга'!R32*(1-'ФАСАД Рязань'!$V$5-'ФАСАД Рязань'!V32)+IFERROR(SEARCH("комп",J32)/SEARCH("комп",J32)*'ФАСАД Рязань'!$R$5,'ФАСАД Рязань'!S$5)),"нет")</f>
        <v>3963</v>
      </c>
      <c r="T32" s="101">
        <f t="shared" si="2"/>
        <v>515.19000000000005</v>
      </c>
      <c r="U32" s="1221"/>
      <c r="V32" s="1229"/>
      <c r="W32" s="1221"/>
      <c r="X32" s="1154"/>
      <c r="Y32" s="1155"/>
      <c r="Z32" s="1156"/>
      <c r="AA32" s="1157"/>
      <c r="AB32" s="991"/>
      <c r="AC32" s="991"/>
      <c r="AD32" s="1022"/>
      <c r="AE32" s="746"/>
      <c r="AF32" s="82"/>
      <c r="AG32" s="2"/>
    </row>
    <row r="33" spans="1:33" ht="20.100000000000001" customHeight="1" thickBot="1" x14ac:dyDescent="0.3">
      <c r="A33" s="1246"/>
      <c r="B33" s="203">
        <v>1200</v>
      </c>
      <c r="C33" s="204">
        <v>600</v>
      </c>
      <c r="D33" s="209">
        <v>140</v>
      </c>
      <c r="E33" s="263">
        <v>111.11111111111111</v>
      </c>
      <c r="F33" s="263">
        <v>17.223324514991184</v>
      </c>
      <c r="G33" s="264" t="s">
        <v>252</v>
      </c>
      <c r="H33" s="604" t="str">
        <f>IF(OR('ФАСАД Рязань'!$T$6="Завод 'ТЕХНО' г.Рязань",'ФАСАД Рязань'!$T$6="Завод 'ТЕХНО' г.Заинск"),'ФАСАД Рязань'!E33,'ФАСАД Юрга'!E33)</f>
        <v>C</v>
      </c>
      <c r="I33" s="1181">
        <f>IF(OR('ФАСАД Рязань'!$T$6="Завод 'ТЕХНО' г.Рязань",'ФАСАД Рязань'!$T$6="Завод 'ТЕХНО' г.Заинск"),'ФАСАД Рязань'!I33,'ФАСАД Юрга'!I33)</f>
        <v>116.1216</v>
      </c>
      <c r="J33" s="177">
        <v>329.01120000000003</v>
      </c>
      <c r="K33" s="97">
        <v>2</v>
      </c>
      <c r="L33" s="166">
        <f t="shared" si="7"/>
        <v>1.44</v>
      </c>
      <c r="M33" s="169">
        <f t="shared" si="8"/>
        <v>0.2016</v>
      </c>
      <c r="N33" s="97">
        <v>32</v>
      </c>
      <c r="O33" s="126">
        <f t="shared" si="5"/>
        <v>6.4512</v>
      </c>
      <c r="P33" s="231">
        <f t="shared" si="6"/>
        <v>70.963200000000001</v>
      </c>
      <c r="Q33" s="266"/>
      <c r="R33" s="88">
        <f t="shared" si="1"/>
        <v>798.94079999999997</v>
      </c>
      <c r="S33" s="786">
        <f>IFERROR(IF(OR('ФАСАД Рязань'!$T$6="Завод 'ТЕХНО' г.Рязань",'ФАСАД Рязань'!$T$6="Завод 'ТЕХНО' г.Заинск"),IF('ФАСАД Рязань'!$T$6="Завод 'ТЕХНО' г.Рязань",'ФАСАД Рязань'!R33*(1-'ФАСАД Рязань'!$V$5-'ФАСАД Рязань'!V33)+IFERROR(SEARCH("комп",J33)/SEARCH("комп",J33)*'ФАСАД Рязань'!$R$5,'ФАСАД Рязань'!S$5),'ФАСАД Заинск'!R33*(1-'ФАСАД Рязань'!$V$5-'ФАСАД Рязань'!V33)+IFERROR(SEARCH("комп",J33)/SEARCH("комп",J33)*'ФАСАД Рязань'!$R$5,'ФАСАД Рязань'!S$5)),'ФАСАД Юрга'!R33*(1-'ФАСАД Рязань'!$V$5-'ФАСАД Рязань'!V33)+IFERROR(SEARCH("комп",J33)/SEARCH("комп",J33)*'ФАСАД Рязань'!$R$5,'ФАСАД Рязань'!S$5)),"нет")</f>
        <v>3963</v>
      </c>
      <c r="T33" s="101">
        <f t="shared" si="2"/>
        <v>554.82000000000005</v>
      </c>
      <c r="U33" s="1221"/>
      <c r="V33" s="1229"/>
      <c r="W33" s="1221"/>
      <c r="X33" s="1154"/>
      <c r="Y33" s="1155"/>
      <c r="Z33" s="1156"/>
      <c r="AA33" s="1157"/>
      <c r="AB33" s="991"/>
      <c r="AC33" s="991"/>
      <c r="AD33" s="1022"/>
      <c r="AE33" s="746"/>
      <c r="AF33" s="82"/>
      <c r="AG33" s="2"/>
    </row>
    <row r="34" spans="1:33" ht="20.100000000000001" customHeight="1" thickBot="1" x14ac:dyDescent="0.3">
      <c r="A34" s="1246"/>
      <c r="B34" s="203">
        <v>1200</v>
      </c>
      <c r="C34" s="204">
        <v>600</v>
      </c>
      <c r="D34" s="209">
        <v>150</v>
      </c>
      <c r="E34" s="263">
        <v>111.11111111111111</v>
      </c>
      <c r="F34" s="263">
        <v>16.075102880658438</v>
      </c>
      <c r="G34" s="264" t="s">
        <v>253</v>
      </c>
      <c r="H34" s="604" t="str">
        <f>IF(OR('ФАСАД Рязань'!$T$6="Завод 'ТЕХНО' г.Рязань",'ФАСАД Рязань'!$T$6="Завод 'ТЕХНО' г.Заинск"),'ФАСАД Рязань'!E34,'ФАСАД Юрга'!E34)</f>
        <v>C</v>
      </c>
      <c r="I34" s="1181">
        <f>IF(OR('ФАСАД Рязань'!$T$6="Завод 'ТЕХНО' г.Рязань",'ФАСАД Рязань'!$T$6="Завод 'ТЕХНО' г.Заинск"),'ФАСАД Рязань'!I34,'ФАСАД Юрга'!I34)</f>
        <v>117.504</v>
      </c>
      <c r="J34" s="177">
        <v>352.512</v>
      </c>
      <c r="K34" s="97">
        <v>2</v>
      </c>
      <c r="L34" s="166">
        <f t="shared" si="7"/>
        <v>1.44</v>
      </c>
      <c r="M34" s="169">
        <f t="shared" si="8"/>
        <v>0.216</v>
      </c>
      <c r="N34" s="97">
        <v>32</v>
      </c>
      <c r="O34" s="126">
        <f t="shared" si="5"/>
        <v>6.9119999999999999</v>
      </c>
      <c r="P34" s="231">
        <f t="shared" si="6"/>
        <v>76.031999999999996</v>
      </c>
      <c r="Q34" s="266"/>
      <c r="R34" s="88">
        <f t="shared" si="1"/>
        <v>856.00800000000004</v>
      </c>
      <c r="S34" s="786">
        <f>IFERROR(IF(OR('ФАСАД Рязань'!$T$6="Завод 'ТЕХНО' г.Рязань",'ФАСАД Рязань'!$T$6="Завод 'ТЕХНО' г.Заинск"),IF('ФАСАД Рязань'!$T$6="Завод 'ТЕХНО' г.Рязань",'ФАСАД Рязань'!R34*(1-'ФАСАД Рязань'!$V$5-'ФАСАД Рязань'!V34)+IFERROR(SEARCH("комп",J34)/SEARCH("комп",J34)*'ФАСАД Рязань'!$R$5,'ФАСАД Рязань'!S$5),'ФАСАД Заинск'!R34*(1-'ФАСАД Рязань'!$V$5-'ФАСАД Рязань'!V34)+IFERROR(SEARCH("комп",J34)/SEARCH("комп",J34)*'ФАСАД Рязань'!$R$5,'ФАСАД Рязань'!S$5)),'ФАСАД Юрга'!R34*(1-'ФАСАД Рязань'!$V$5-'ФАСАД Рязань'!V34)+IFERROR(SEARCH("комп",J34)/SEARCH("комп",J34)*'ФАСАД Рязань'!$R$5,'ФАСАД Рязань'!S$5)),"нет")</f>
        <v>3963</v>
      </c>
      <c r="T34" s="101">
        <f t="shared" si="2"/>
        <v>594.45000000000005</v>
      </c>
      <c r="U34" s="1221"/>
      <c r="V34" s="1229"/>
      <c r="W34" s="1221"/>
      <c r="X34" s="1154"/>
      <c r="Y34" s="1155"/>
      <c r="Z34" s="1156"/>
      <c r="AA34" s="1157"/>
      <c r="AB34" s="991"/>
      <c r="AC34" s="991"/>
      <c r="AD34" s="1022"/>
      <c r="AE34" s="746"/>
      <c r="AF34" s="82"/>
      <c r="AG34" s="2"/>
    </row>
    <row r="35" spans="1:33" ht="20.100000000000001" customHeight="1" thickBot="1" x14ac:dyDescent="0.3">
      <c r="A35" s="1246"/>
      <c r="B35" s="203">
        <v>1200</v>
      </c>
      <c r="C35" s="204">
        <v>600</v>
      </c>
      <c r="D35" s="209">
        <v>160</v>
      </c>
      <c r="E35" s="263">
        <v>111.11111111111111</v>
      </c>
      <c r="F35" s="263">
        <v>17.223324514991184</v>
      </c>
      <c r="G35" s="264" t="s">
        <v>254</v>
      </c>
      <c r="H35" s="604" t="str">
        <f>IF(OR('ФАСАД Рязань'!$T$6="Завод 'ТЕХНО' г.Рязань",'ФАСАД Рязань'!$T$6="Завод 'ТЕХНО' г.Заинск"),'ФАСАД Рязань'!E35,'ФАСАД Юрга'!E35)</f>
        <v>C</v>
      </c>
      <c r="I35" s="1181">
        <f>IF(OR('ФАСАД Рязань'!$T$6="Завод 'ТЕХНО' г.Рязань",'ФАСАД Рязань'!$T$6="Завод 'ТЕХНО' г.Заинск"),'ФАСАД Рязань'!I35,'ФАСАД Юрга'!I35)</f>
        <v>116.12159999999999</v>
      </c>
      <c r="J35" s="177">
        <v>329.01120000000003</v>
      </c>
      <c r="K35" s="97">
        <v>2</v>
      </c>
      <c r="L35" s="166">
        <f t="shared" si="7"/>
        <v>1.44</v>
      </c>
      <c r="M35" s="169">
        <f t="shared" si="8"/>
        <v>0.23039999999999997</v>
      </c>
      <c r="N35" s="97">
        <v>28</v>
      </c>
      <c r="O35" s="126">
        <f t="shared" si="5"/>
        <v>6.4511999999999992</v>
      </c>
      <c r="P35" s="231">
        <f t="shared" si="6"/>
        <v>70.963199999999986</v>
      </c>
      <c r="Q35" s="266"/>
      <c r="R35" s="88">
        <f t="shared" si="1"/>
        <v>913.07519999999988</v>
      </c>
      <c r="S35" s="786">
        <f>IFERROR(IF(OR('ФАСАД Рязань'!$T$6="Завод 'ТЕХНО' г.Рязань",'ФАСАД Рязань'!$T$6="Завод 'ТЕХНО' г.Заинск"),IF('ФАСАД Рязань'!$T$6="Завод 'ТЕХНО' г.Рязань",'ФАСАД Рязань'!R35*(1-'ФАСАД Рязань'!$V$5-'ФАСАД Рязань'!V35)+IFERROR(SEARCH("комп",J35)/SEARCH("комп",J35)*'ФАСАД Рязань'!$R$5,'ФАСАД Рязань'!S$5),'ФАСАД Заинск'!R35*(1-'ФАСАД Рязань'!$V$5-'ФАСАД Рязань'!V35)+IFERROR(SEARCH("комп",J35)/SEARCH("комп",J35)*'ФАСАД Рязань'!$R$5,'ФАСАД Рязань'!S$5)),'ФАСАД Юрга'!R35*(1-'ФАСАД Рязань'!$V$5-'ФАСАД Рязань'!V35)+IFERROR(SEARCH("комп",J35)/SEARCH("комп",J35)*'ФАСАД Рязань'!$R$5,'ФАСАД Рязань'!S$5)),"нет")</f>
        <v>3963</v>
      </c>
      <c r="T35" s="101">
        <f t="shared" si="2"/>
        <v>634.08000000000004</v>
      </c>
      <c r="U35" s="1221"/>
      <c r="V35" s="1229"/>
      <c r="W35" s="1221"/>
      <c r="X35" s="1154"/>
      <c r="Y35" s="1155"/>
      <c r="Z35" s="1156"/>
      <c r="AA35" s="1157"/>
      <c r="AB35" s="991"/>
      <c r="AC35" s="991"/>
      <c r="AD35" s="1022"/>
      <c r="AE35" s="746"/>
      <c r="AF35" s="82"/>
      <c r="AG35" s="2"/>
    </row>
    <row r="36" spans="1:33" ht="20.100000000000001" customHeight="1" thickBot="1" x14ac:dyDescent="0.3">
      <c r="A36" s="1246"/>
      <c r="B36" s="203">
        <v>1200</v>
      </c>
      <c r="C36" s="204">
        <v>600</v>
      </c>
      <c r="D36" s="209">
        <v>170</v>
      </c>
      <c r="E36" s="263">
        <v>111.11111111111111</v>
      </c>
      <c r="F36" s="263">
        <v>16.210187778815229</v>
      </c>
      <c r="G36" s="264" t="s">
        <v>255</v>
      </c>
      <c r="H36" s="604" t="str">
        <f>IF(OR('ФАСАД Рязань'!$T$6="Завод 'ТЕХНО' г.Рязань",'ФАСАД Рязань'!$T$6="Завод 'ТЕХНО' г.Заинск"),'ФАСАД Рязань'!E36,'ФАСАД Юрга'!E36)</f>
        <v>C</v>
      </c>
      <c r="I36" s="1181">
        <f>IF(OR('ФАСАД Рязань'!$T$6="Завод 'ТЕХНО' г.Рязань",'ФАСАД Рязань'!$T$6="Завод 'ТЕХНО' г.Заинск"),'ФАСАД Рязань'!I36,'ФАСАД Юрга'!I36)</f>
        <v>116.5248</v>
      </c>
      <c r="J36" s="177">
        <v>349.57439999999997</v>
      </c>
      <c r="K36" s="97">
        <v>2</v>
      </c>
      <c r="L36" s="166">
        <f t="shared" si="7"/>
        <v>1.44</v>
      </c>
      <c r="M36" s="169">
        <f t="shared" si="8"/>
        <v>0.24479999999999999</v>
      </c>
      <c r="N36" s="97">
        <v>28</v>
      </c>
      <c r="O36" s="126">
        <f t="shared" si="5"/>
        <v>6.8544</v>
      </c>
      <c r="P36" s="231">
        <f t="shared" si="6"/>
        <v>75.398399999999995</v>
      </c>
      <c r="Q36" s="266"/>
      <c r="R36" s="88">
        <f t="shared" si="1"/>
        <v>970.14239999999995</v>
      </c>
      <c r="S36" s="786">
        <f>IFERROR(IF(OR('ФАСАД Рязань'!$T$6="Завод 'ТЕХНО' г.Рязань",'ФАСАД Рязань'!$T$6="Завод 'ТЕХНО' г.Заинск"),IF('ФАСАД Рязань'!$T$6="Завод 'ТЕХНО' г.Рязань",'ФАСАД Рязань'!R36*(1-'ФАСАД Рязань'!$V$5-'ФАСАД Рязань'!V36)+IFERROR(SEARCH("комп",J36)/SEARCH("комп",J36)*'ФАСАД Рязань'!$R$5,'ФАСАД Рязань'!S$5),'ФАСАД Заинск'!R36*(1-'ФАСАД Рязань'!$V$5-'ФАСАД Рязань'!V36)+IFERROR(SEARCH("комп",J36)/SEARCH("комп",J36)*'ФАСАД Рязань'!$R$5,'ФАСАД Рязань'!S$5)),'ФАСАД Юрга'!R36*(1-'ФАСАД Рязань'!$V$5-'ФАСАД Рязань'!V36)+IFERROR(SEARCH("комп",J36)/SEARCH("комп",J36)*'ФАСАД Рязань'!$R$5,'ФАСАД Рязань'!S$5)),"нет")</f>
        <v>3963</v>
      </c>
      <c r="T36" s="101">
        <f t="shared" si="2"/>
        <v>673.71</v>
      </c>
      <c r="U36" s="1221"/>
      <c r="V36" s="1229"/>
      <c r="W36" s="1221"/>
      <c r="X36" s="1154"/>
      <c r="Y36" s="1155"/>
      <c r="Z36" s="1156"/>
      <c r="AA36" s="1157"/>
      <c r="AB36" s="991"/>
      <c r="AC36" s="991"/>
      <c r="AD36" s="1022"/>
      <c r="AE36" s="746"/>
      <c r="AF36" s="82"/>
      <c r="AG36" s="2"/>
    </row>
    <row r="37" spans="1:33" ht="20.100000000000001" customHeight="1" thickBot="1" x14ac:dyDescent="0.3">
      <c r="A37" s="1246"/>
      <c r="B37" s="240">
        <v>1200</v>
      </c>
      <c r="C37" s="241">
        <v>600</v>
      </c>
      <c r="D37" s="242">
        <v>180</v>
      </c>
      <c r="E37" s="289">
        <v>111.11111111111111</v>
      </c>
      <c r="F37" s="289">
        <v>17.861225422953819</v>
      </c>
      <c r="G37" s="317" t="s">
        <v>256</v>
      </c>
      <c r="H37" s="604" t="str">
        <f>IF(OR('ФАСАД Рязань'!$T$6="Завод 'ТЕХНО' г.Рязань",'ФАСАД Рязань'!$T$6="Завод 'ТЕХНО' г.Заинск"),'ФАСАД Рязань'!E37,'ФАСАД Юрга'!E37)</f>
        <v>C</v>
      </c>
      <c r="I37" s="1182">
        <f>IF(OR('ФАСАД Рязань'!$T$6="Завод 'ТЕХНО' г.Рязань",'ФАСАД Рязань'!$T$6="Завод 'ТЕХНО' г.Заинск"),'ФАСАД Рязань'!I37,'ФАСАД Юрга'!I37)</f>
        <v>111.97439999999999</v>
      </c>
      <c r="J37" s="455">
        <v>317.26079999999996</v>
      </c>
      <c r="K37" s="306">
        <v>2</v>
      </c>
      <c r="L37" s="167">
        <f t="shared" si="7"/>
        <v>1.44</v>
      </c>
      <c r="M37" s="307">
        <f t="shared" si="8"/>
        <v>0.25919999999999999</v>
      </c>
      <c r="N37" s="306">
        <v>24</v>
      </c>
      <c r="O37" s="129">
        <f t="shared" si="5"/>
        <v>6.2207999999999997</v>
      </c>
      <c r="P37" s="260">
        <f t="shared" si="6"/>
        <v>68.428799999999995</v>
      </c>
      <c r="Q37" s="308"/>
      <c r="R37" s="479">
        <f t="shared" si="1"/>
        <v>1027.2095999999999</v>
      </c>
      <c r="S37" s="787">
        <f>IFERROR(IF(OR('ФАСАД Рязань'!$T$6="Завод 'ТЕХНО' г.Рязань",'ФАСАД Рязань'!$T$6="Завод 'ТЕХНО' г.Заинск"),IF('ФАСАД Рязань'!$T$6="Завод 'ТЕХНО' г.Рязань",'ФАСАД Рязань'!R37*(1-'ФАСАД Рязань'!$V$5-'ФАСАД Рязань'!V37)+IFERROR(SEARCH("комп",J37)/SEARCH("комп",J37)*'ФАСАД Рязань'!$R$5,'ФАСАД Рязань'!S$5),'ФАСАД Заинск'!R37*(1-'ФАСАД Рязань'!$V$5-'ФАСАД Рязань'!V37)+IFERROR(SEARCH("комп",J37)/SEARCH("комп",J37)*'ФАСАД Рязань'!$R$5,'ФАСАД Рязань'!S$5)),'ФАСАД Юрга'!R37*(1-'ФАСАД Рязань'!$V$5-'ФАСАД Рязань'!V37)+IFERROR(SEARCH("комп",J37)/SEARCH("комп",J37)*'ФАСАД Рязань'!$R$5,'ФАСАД Рязань'!S$5)),"нет")</f>
        <v>3963</v>
      </c>
      <c r="T37" s="102">
        <f t="shared" si="2"/>
        <v>713.34</v>
      </c>
      <c r="U37" s="1221"/>
      <c r="V37" s="1229"/>
      <c r="W37" s="1221"/>
      <c r="X37" s="1154"/>
      <c r="Y37" s="1155"/>
      <c r="Z37" s="1156"/>
      <c r="AA37" s="1157"/>
      <c r="AB37" s="991"/>
      <c r="AC37" s="991"/>
      <c r="AD37" s="1022"/>
      <c r="AE37" s="746"/>
      <c r="AF37" s="82"/>
      <c r="AG37" s="2"/>
    </row>
    <row r="38" spans="1:33" ht="20.100000000000001" hidden="1" customHeight="1" thickBot="1" x14ac:dyDescent="0.3">
      <c r="A38" s="1246"/>
      <c r="B38" s="249">
        <v>1200</v>
      </c>
      <c r="C38" s="287">
        <v>600</v>
      </c>
      <c r="D38" s="288">
        <v>190</v>
      </c>
      <c r="E38" s="319">
        <v>111.11111111111111</v>
      </c>
      <c r="F38" s="319">
        <v>16.921160927008881</v>
      </c>
      <c r="G38" s="310" t="s">
        <v>257</v>
      </c>
      <c r="H38" s="604" t="str">
        <f>IF(OR('ФАСАД Рязань'!$T$6="Завод 'ТЕХНО' г.Рязань",'ФАСАД Рязань'!$T$6="Завод 'ТЕХНО' г.Заинск"),'ФАСАД Рязань'!E38,'ФАСАД Юрга'!E38)</f>
        <v>C</v>
      </c>
      <c r="I38" s="594">
        <f>IF(OR('ФАСАД Рязань'!$T$6="Завод 'ТЕХНО' г.Рязань",'ФАСАД Рязань'!$T$6="Завод 'ТЕХНО' г.Заинск"),'ФАСАД Рязань'!I38,'ФАСАД Юрга'!I38)</f>
        <v>111.62879999999998</v>
      </c>
      <c r="J38" s="178">
        <v>334.88639999999998</v>
      </c>
      <c r="K38" s="320">
        <v>2</v>
      </c>
      <c r="L38" s="168">
        <f t="shared" si="7"/>
        <v>1.44</v>
      </c>
      <c r="M38" s="265">
        <f t="shared" si="8"/>
        <v>0.27359999999999995</v>
      </c>
      <c r="N38" s="320">
        <v>24</v>
      </c>
      <c r="O38" s="132">
        <f t="shared" si="5"/>
        <v>6.5663999999999989</v>
      </c>
      <c r="P38" s="223">
        <f t="shared" si="6"/>
        <v>72.230399999999989</v>
      </c>
      <c r="Q38" s="612"/>
      <c r="R38" s="88">
        <f t="shared" si="1"/>
        <v>1084.2767999999999</v>
      </c>
      <c r="S38" s="786">
        <f>IFERROR(IF(OR('ФАСАД Рязань'!$T$6="Завод 'ТЕХНО' г.Рязань",'ФАСАД Рязань'!$T$6="Завод 'ТЕХНО' г.Заинск"),IF('ФАСАД Рязань'!$T$6="Завод 'ТЕХНО' г.Рязань",'ФАСАД Рязань'!R38*(1-'ФАСАД Рязань'!$V$5-'ФАСАД Рязань'!V38)+IFERROR(SEARCH("комп",J38)/SEARCH("комп",J38)*'ФАСАД Рязань'!$R$5,'ФАСАД Рязань'!S$5),'ФАСАД Заинск'!R38*(1-'ФАСАД Рязань'!$V$5-'ФАСАД Рязань'!V38)+IFERROR(SEARCH("комп",J38)/SEARCH("комп",J38)*'ФАСАД Рязань'!$R$5,'ФАСАД Рязань'!S$5)),'ФАСАД Юрга'!R38*(1-'ФАСАД Рязань'!$V$5-'ФАСАД Рязань'!V38)+IFERROR(SEARCH("комп",J38)/SEARCH("комп",J38)*'ФАСАД Рязань'!$R$5,'ФАСАД Рязань'!S$5)),"нет")</f>
        <v>3963</v>
      </c>
      <c r="T38" s="101">
        <f t="shared" si="2"/>
        <v>752.97</v>
      </c>
      <c r="U38" s="1221"/>
      <c r="V38" s="1229"/>
      <c r="W38" s="1221"/>
      <c r="X38" s="1154"/>
      <c r="Y38" s="1155"/>
      <c r="Z38" s="1156"/>
      <c r="AA38" s="1157"/>
      <c r="AB38" s="991"/>
      <c r="AC38" s="991"/>
      <c r="AD38" s="1022"/>
      <c r="AE38" s="746"/>
      <c r="AF38" s="82"/>
      <c r="AG38" s="2"/>
    </row>
    <row r="39" spans="1:33" ht="20.100000000000001" hidden="1" customHeight="1" thickBot="1" x14ac:dyDescent="0.3">
      <c r="A39" s="1247"/>
      <c r="B39" s="240">
        <v>1200</v>
      </c>
      <c r="C39" s="241">
        <v>600</v>
      </c>
      <c r="D39" s="242">
        <v>200</v>
      </c>
      <c r="E39" s="289">
        <v>111.11111111111111</v>
      </c>
      <c r="F39" s="289">
        <v>16.075102880658438</v>
      </c>
      <c r="G39" s="317" t="s">
        <v>258</v>
      </c>
      <c r="H39" s="604" t="str">
        <f>IF(OR('ФАСАД Рязань'!$T$6="Завод 'ТЕХНО' г.Рязань",'ФАСАД Рязань'!$T$6="Завод 'ТЕХНО' г.Заинск"),'ФАСАД Рязань'!E39,'ФАСАД Юрга'!E39)</f>
        <v>C</v>
      </c>
      <c r="I39" s="592">
        <f>IF(OR('ФАСАД Рязань'!$T$6="Завод 'ТЕХНО' г.Рязань",'ФАСАД Рязань'!$T$6="Завод 'ТЕХНО' г.Заинск"),'ФАСАД Рязань'!I39,'ФАСАД Юрга'!I39)</f>
        <v>117.50399999999999</v>
      </c>
      <c r="J39" s="445">
        <v>352.51199999999994</v>
      </c>
      <c r="K39" s="306">
        <v>2</v>
      </c>
      <c r="L39" s="166">
        <f t="shared" si="7"/>
        <v>1.44</v>
      </c>
      <c r="M39" s="169">
        <f t="shared" si="8"/>
        <v>0.28799999999999998</v>
      </c>
      <c r="N39" s="97">
        <v>24</v>
      </c>
      <c r="O39" s="126">
        <f t="shared" si="5"/>
        <v>6.911999999999999</v>
      </c>
      <c r="P39" s="231">
        <f t="shared" si="6"/>
        <v>76.031999999999982</v>
      </c>
      <c r="Q39" s="308"/>
      <c r="R39" s="88">
        <f t="shared" si="1"/>
        <v>1141.3439999999998</v>
      </c>
      <c r="S39" s="786">
        <f>IFERROR(IF(OR('ФАСАД Рязань'!$T$6="Завод 'ТЕХНО' г.Рязань",'ФАСАД Рязань'!$T$6="Завод 'ТЕХНО' г.Заинск"),IF('ФАСАД Рязань'!$T$6="Завод 'ТЕХНО' г.Рязань",'ФАСАД Рязань'!R39*(1-'ФАСАД Рязань'!$V$5-'ФАСАД Рязань'!V39)+IFERROR(SEARCH("комп",J39)/SEARCH("комп",J39)*'ФАСАД Рязань'!$R$5,'ФАСАД Рязань'!S$5),'ФАСАД Заинск'!R39*(1-'ФАСАД Рязань'!$V$5-'ФАСАД Рязань'!V39)+IFERROR(SEARCH("комп",J39)/SEARCH("комп",J39)*'ФАСАД Рязань'!$R$5,'ФАСАД Рязань'!S$5)),'ФАСАД Юрга'!R39*(1-'ФАСАД Рязань'!$V$5-'ФАСАД Рязань'!V39)+IFERROR(SEARCH("комп",J39)/SEARCH("комп",J39)*'ФАСАД Рязань'!$R$5,'ФАСАД Рязань'!S$5)),"нет")</f>
        <v>3963</v>
      </c>
      <c r="T39" s="101">
        <f t="shared" si="2"/>
        <v>792.6</v>
      </c>
      <c r="U39" s="1221"/>
      <c r="V39" s="1229"/>
      <c r="W39" s="1221"/>
      <c r="X39" s="1154"/>
      <c r="Y39" s="1155"/>
      <c r="Z39" s="1156"/>
      <c r="AA39" s="1157"/>
      <c r="AB39" s="991"/>
      <c r="AC39" s="991"/>
      <c r="AD39" s="1022"/>
      <c r="AE39" s="746"/>
      <c r="AF39" s="82"/>
      <c r="AG39" s="2"/>
    </row>
    <row r="40" spans="1:33" ht="20.100000000000001" customHeight="1" thickBot="1" x14ac:dyDescent="0.3">
      <c r="A40" s="35" t="s">
        <v>12</v>
      </c>
      <c r="B40" s="252">
        <v>1200</v>
      </c>
      <c r="C40" s="250">
        <v>600</v>
      </c>
      <c r="D40" s="251">
        <v>50</v>
      </c>
      <c r="E40" s="319"/>
      <c r="F40" s="319">
        <v>0</v>
      </c>
      <c r="G40" s="310" t="s">
        <v>164</v>
      </c>
      <c r="H40" s="604" t="str">
        <f>IF(OR('ФАСАД Рязань'!$T$6="Завод 'ТЕХНО' г.Рязань",'ФАСАД Рязань'!$T$6="Завод 'ТЕХНО' г.Заинск"),'ФАСАД Рязань'!E40,'ФАСАД Юрга'!E40)</f>
        <v>C</v>
      </c>
      <c r="I40" s="1181">
        <f>IF(OR('ФАСАД Рязань'!$T$6="Завод 'ТЕХНО' г.Рязань",'ФАСАД Рязань'!$T$6="Завод 'ТЕХНО' г.Заинск"),'ФАСАД Рязань'!I40,'ФАСАД Юрга'!I40)</f>
        <v>103.67999999999999</v>
      </c>
      <c r="J40" s="178"/>
      <c r="K40" s="311">
        <v>6</v>
      </c>
      <c r="L40" s="166">
        <f t="shared" si="7"/>
        <v>4.32</v>
      </c>
      <c r="M40" s="169">
        <f t="shared" si="8"/>
        <v>0.216</v>
      </c>
      <c r="N40" s="97">
        <v>32</v>
      </c>
      <c r="O40" s="126">
        <f t="shared" si="5"/>
        <v>6.9119999999999999</v>
      </c>
      <c r="P40" s="231">
        <f t="shared" si="6"/>
        <v>76.031999999999996</v>
      </c>
      <c r="Q40" s="321"/>
      <c r="R40" s="88">
        <f t="shared" si="1"/>
        <v>941.54399999999998</v>
      </c>
      <c r="S40" s="786">
        <f>IFERROR(IF(OR('ФАСАД Рязань'!$T$6="Завод 'ТЕХНО' г.Рязань",'ФАСАД Рязань'!$T$6="Завод 'ТЕХНО' г.Заинск"),IF('ФАСАД Рязань'!$T$6="Завод 'ТЕХНО' г.Рязань",'ФАСАД Рязань'!R40*(1-'ФАСАД Рязань'!$V$5-'ФАСАД Рязань'!V40)+IFERROR(SEARCH("комп",J40)/SEARCH("комп",J40)*'ФАСАД Рязань'!$R$5,'ФАСАД Рязань'!S$5),'ФАСАД Заинск'!R40*(1-'ФАСАД Рязань'!$V$5-'ФАСАД Рязань'!V40)+IFERROR(SEARCH("комп",J40)/SEARCH("комп",J40)*'ФАСАД Рязань'!$R$5,'ФАСАД Рязань'!S$5)),'ФАСАД Юрга'!R40*(1-'ФАСАД Рязань'!$V$5-'ФАСАД Рязань'!V40)+IFERROR(SEARCH("комп",J40)/SEARCH("комп",J40)*'ФАСАД Рязань'!$R$5,'ФАСАД Рязань'!S$5)),"нет")</f>
        <v>4359</v>
      </c>
      <c r="T40" s="101">
        <f t="shared" si="2"/>
        <v>217.95</v>
      </c>
      <c r="U40" s="1221"/>
      <c r="V40" s="1229"/>
      <c r="W40" s="1221"/>
      <c r="X40" s="1154"/>
      <c r="Y40" s="1155"/>
      <c r="Z40" s="1156"/>
      <c r="AA40" s="1157"/>
      <c r="AB40" s="991"/>
      <c r="AC40" s="991"/>
      <c r="AD40" s="1022"/>
      <c r="AE40" s="1104"/>
      <c r="AF40" s="82"/>
      <c r="AG40" s="2"/>
    </row>
    <row r="41" spans="1:33" ht="20.100000000000001" customHeight="1" thickBot="1" x14ac:dyDescent="0.3">
      <c r="A41" s="1246" t="s">
        <v>27</v>
      </c>
      <c r="B41" s="203">
        <v>1200</v>
      </c>
      <c r="C41" s="204">
        <v>600</v>
      </c>
      <c r="D41" s="209">
        <v>60</v>
      </c>
      <c r="E41" s="263">
        <v>100</v>
      </c>
      <c r="F41" s="263">
        <v>14.467592592592593</v>
      </c>
      <c r="G41" s="264" t="s">
        <v>544</v>
      </c>
      <c r="H41" s="604" t="str">
        <f>IF(OR('ФАСАД Рязань'!$T$6="Завод 'ТЕХНО' г.Рязань",'ФАСАД Рязань'!$T$6="Завод 'ТЕХНО' г.Заинск"),'ФАСАД Рязань'!E41,'ФАСАД Юрга'!E41)</f>
        <v>C</v>
      </c>
      <c r="I41" s="1181">
        <f>IF(OR('ФАСАД Рязань'!$T$6="Завод 'ТЕХНО' г.Рязань",'ФАСАД Рязань'!$T$6="Завод 'ТЕХНО' г.Заинск"),'ФАСАД Рязань'!I41,'ФАСАД Юрга'!I41)</f>
        <v>103.67999999999999</v>
      </c>
      <c r="J41" s="177">
        <v>311.03999999999996</v>
      </c>
      <c r="K41" s="97">
        <v>5</v>
      </c>
      <c r="L41" s="166">
        <f t="shared" si="7"/>
        <v>3.6</v>
      </c>
      <c r="M41" s="169">
        <f t="shared" si="8"/>
        <v>0.216</v>
      </c>
      <c r="N41" s="97">
        <v>32</v>
      </c>
      <c r="O41" s="126">
        <f t="shared" si="5"/>
        <v>6.9119999999999999</v>
      </c>
      <c r="P41" s="231">
        <f t="shared" si="6"/>
        <v>76.031999999999996</v>
      </c>
      <c r="Q41" s="266"/>
      <c r="R41" s="88">
        <f t="shared" si="1"/>
        <v>941.54399999999998</v>
      </c>
      <c r="S41" s="786">
        <f>IFERROR(IF(OR('ФАСАД Рязань'!$T$6="Завод 'ТЕХНО' г.Рязань",'ФАСАД Рязань'!$T$6="Завод 'ТЕХНО' г.Заинск"),IF('ФАСАД Рязань'!$T$6="Завод 'ТЕХНО' г.Рязань",'ФАСАД Рязань'!R41*(1-'ФАСАД Рязань'!$V$5-'ФАСАД Рязань'!V41)+IFERROR(SEARCH("комп",J41)/SEARCH("комп",J41)*'ФАСАД Рязань'!$R$5,'ФАСАД Рязань'!S$5),'ФАСАД Заинск'!R41*(1-'ФАСАД Рязань'!$V$5-'ФАСАД Рязань'!V41)+IFERROR(SEARCH("комп",J41)/SEARCH("комп",J41)*'ФАСАД Рязань'!$R$5,'ФАСАД Рязань'!S$5)),'ФАСАД Юрга'!R41*(1-'ФАСАД Рязань'!$V$5-'ФАСАД Рязань'!V41)+IFERROR(SEARCH("комп",J41)/SEARCH("комп",J41)*'ФАСАД Рязань'!$R$5,'ФАСАД Рязань'!S$5)),"нет")</f>
        <v>4359</v>
      </c>
      <c r="T41" s="101">
        <f t="shared" si="2"/>
        <v>261.54000000000002</v>
      </c>
      <c r="U41" s="1221"/>
      <c r="V41" s="1229"/>
      <c r="W41" s="1221"/>
      <c r="X41" s="1154"/>
      <c r="Y41" s="1155"/>
      <c r="Z41" s="1156"/>
      <c r="AA41" s="1157"/>
      <c r="AB41" s="991"/>
      <c r="AC41" s="991"/>
      <c r="AD41" s="1022"/>
      <c r="AE41" s="746"/>
      <c r="AF41" s="82"/>
      <c r="AG41" s="2"/>
    </row>
    <row r="42" spans="1:33" ht="20.100000000000001" customHeight="1" thickBot="1" x14ac:dyDescent="0.3">
      <c r="A42" s="1246"/>
      <c r="B42" s="203">
        <v>1200</v>
      </c>
      <c r="C42" s="204">
        <v>600</v>
      </c>
      <c r="D42" s="209">
        <v>70</v>
      </c>
      <c r="E42" s="263">
        <v>100</v>
      </c>
      <c r="F42" s="263">
        <v>15.500992063492063</v>
      </c>
      <c r="G42" s="264" t="s">
        <v>166</v>
      </c>
      <c r="H42" s="604" t="str">
        <f>IF(OR('ФАСАД Рязань'!$T$6="Завод 'ТЕХНО' г.Рязань",'ФАСАД Рязань'!$T$6="Завод 'ТЕХНО' г.Заинск"),'ФАСАД Рязань'!E42,'ФАСАД Юрга'!E42)</f>
        <v>C</v>
      </c>
      <c r="I42" s="1181">
        <f>IF(OR('ФАСАД Рязань'!$T$6="Завод 'ТЕХНО' г.Рязань",'ФАСАД Рязань'!$T$6="Завод 'ТЕХНО' г.Заинск"),'ФАСАД Рязань'!I42,'ФАСАД Юрга'!I42)</f>
        <v>103.2192</v>
      </c>
      <c r="J42" s="177">
        <v>309.6576</v>
      </c>
      <c r="K42" s="97">
        <v>4</v>
      </c>
      <c r="L42" s="166">
        <f t="shared" si="7"/>
        <v>2.88</v>
      </c>
      <c r="M42" s="169">
        <f t="shared" si="8"/>
        <v>0.2016</v>
      </c>
      <c r="N42" s="97">
        <v>32</v>
      </c>
      <c r="O42" s="126">
        <f t="shared" si="5"/>
        <v>6.4512</v>
      </c>
      <c r="P42" s="231">
        <f t="shared" si="6"/>
        <v>70.963200000000001</v>
      </c>
      <c r="Q42" s="266"/>
      <c r="R42" s="88">
        <f t="shared" si="1"/>
        <v>878.77440000000001</v>
      </c>
      <c r="S42" s="786">
        <f>IFERROR(IF(OR('ФАСАД Рязань'!$T$6="Завод 'ТЕХНО' г.Рязань",'ФАСАД Рязань'!$T$6="Завод 'ТЕХНО' г.Заинск"),IF('ФАСАД Рязань'!$T$6="Завод 'ТЕХНО' г.Рязань",'ФАСАД Рязань'!R42*(1-'ФАСАД Рязань'!$V$5-'ФАСАД Рязань'!V42)+IFERROR(SEARCH("комп",J42)/SEARCH("комп",J42)*'ФАСАД Рязань'!$R$5,'ФАСАД Рязань'!S$5),'ФАСАД Заинск'!R42*(1-'ФАСАД Рязань'!$V$5-'ФАСАД Рязань'!V42)+IFERROR(SEARCH("комп",J42)/SEARCH("комп",J42)*'ФАСАД Рязань'!$R$5,'ФАСАД Рязань'!S$5)),'ФАСАД Юрга'!R42*(1-'ФАСАД Рязань'!$V$5-'ФАСАД Рязань'!V42)+IFERROR(SEARCH("комп",J42)/SEARCH("комп",J42)*'ФАСАД Рязань'!$R$5,'ФАСАД Рязань'!S$5)),"нет")</f>
        <v>4359</v>
      </c>
      <c r="T42" s="101">
        <f t="shared" si="2"/>
        <v>305.13</v>
      </c>
      <c r="U42" s="1221"/>
      <c r="V42" s="1229"/>
      <c r="W42" s="1221"/>
      <c r="X42" s="1154"/>
      <c r="Y42" s="1155"/>
      <c r="Z42" s="1156"/>
      <c r="AA42" s="1157"/>
      <c r="AB42" s="991"/>
      <c r="AC42" s="991"/>
      <c r="AD42" s="1022"/>
      <c r="AE42" s="746"/>
      <c r="AF42" s="82"/>
      <c r="AG42" s="2"/>
    </row>
    <row r="43" spans="1:33" ht="20.100000000000001" customHeight="1" thickBot="1" x14ac:dyDescent="0.3">
      <c r="A43" s="1246"/>
      <c r="B43" s="12">
        <v>1200</v>
      </c>
      <c r="C43" s="13">
        <v>600</v>
      </c>
      <c r="D43" s="14">
        <v>80</v>
      </c>
      <c r="E43" s="107">
        <v>100</v>
      </c>
      <c r="F43" s="116">
        <v>14.467592592592592</v>
      </c>
      <c r="G43" s="219" t="s">
        <v>167</v>
      </c>
      <c r="H43" s="604" t="str">
        <f>IF(OR('ФАСАД Рязань'!$T$6="Завод 'ТЕХНО' г.Рязань",'ФАСАД Рязань'!$T$6="Завод 'ТЕХНО' г.Заинск"),'ФАСАД Рязань'!E43,'ФАСАД Юрга'!E43)</f>
        <v>C</v>
      </c>
      <c r="I43" s="1181">
        <f>IF(OR('ФАСАД Рязань'!$T$6="Завод 'ТЕХНО' г.Рязань",'ФАСАД Рязань'!$T$6="Завод 'ТЕХНО' г.Заинск"),'ФАСАД Рязань'!I43,'ФАСАД Юрга'!I43)</f>
        <v>103.68</v>
      </c>
      <c r="J43" s="177">
        <v>331.77600000000007</v>
      </c>
      <c r="K43" s="47">
        <v>3</v>
      </c>
      <c r="L43" s="166">
        <f t="shared" si="7"/>
        <v>2.16</v>
      </c>
      <c r="M43" s="169">
        <f t="shared" si="8"/>
        <v>0.17280000000000001</v>
      </c>
      <c r="N43" s="97">
        <v>40</v>
      </c>
      <c r="O43" s="126">
        <f t="shared" si="5"/>
        <v>6.9120000000000008</v>
      </c>
      <c r="P43" s="231">
        <f t="shared" si="6"/>
        <v>76.032000000000011</v>
      </c>
      <c r="Q43" s="48"/>
      <c r="R43" s="88">
        <f t="shared" si="1"/>
        <v>753.23520000000008</v>
      </c>
      <c r="S43" s="786">
        <f>IFERROR(IF(OR('ФАСАД Рязань'!$T$6="Завод 'ТЕХНО' г.Рязань",'ФАСАД Рязань'!$T$6="Завод 'ТЕХНО' г.Заинск"),IF('ФАСАД Рязань'!$T$6="Завод 'ТЕХНО' г.Рязань",'ФАСАД Рязань'!R43*(1-'ФАСАД Рязань'!$V$5-'ФАСАД Рязань'!V43)+IFERROR(SEARCH("комп",J43)/SEARCH("комп",J43)*'ФАСАД Рязань'!$R$5,'ФАСАД Рязань'!S$5),'ФАСАД Заинск'!R43*(1-'ФАСАД Рязань'!$V$5-'ФАСАД Рязань'!V43)+IFERROR(SEARCH("комп",J43)/SEARCH("комп",J43)*'ФАСАД Рязань'!$R$5,'ФАСАД Рязань'!S$5)),'ФАСАД Юрга'!R43*(1-'ФАСАД Рязань'!$V$5-'ФАСАД Рязань'!V43)+IFERROR(SEARCH("комп",J43)/SEARCH("комп",J43)*'ФАСАД Рязань'!$R$5,'ФАСАД Рязань'!S$5)),"нет")</f>
        <v>4359</v>
      </c>
      <c r="T43" s="101">
        <f t="shared" si="2"/>
        <v>348.72</v>
      </c>
      <c r="U43" s="1221"/>
      <c r="V43" s="1229"/>
      <c r="W43" s="1221"/>
      <c r="X43" s="1154"/>
      <c r="Y43" s="1155"/>
      <c r="Z43" s="1156"/>
      <c r="AA43" s="1157"/>
      <c r="AB43" s="991"/>
      <c r="AC43" s="991"/>
      <c r="AD43" s="1022"/>
      <c r="AE43" s="746"/>
      <c r="AF43" s="82"/>
      <c r="AG43" s="2"/>
    </row>
    <row r="44" spans="1:33" ht="20.100000000000001" customHeight="1" thickBot="1" x14ac:dyDescent="0.3">
      <c r="A44" s="1246"/>
      <c r="B44" s="203">
        <v>1200</v>
      </c>
      <c r="C44" s="204">
        <v>600</v>
      </c>
      <c r="D44" s="209">
        <v>90</v>
      </c>
      <c r="E44" s="263">
        <v>100</v>
      </c>
      <c r="F44" s="263">
        <v>14.288980338363055</v>
      </c>
      <c r="G44" s="264" t="s">
        <v>168</v>
      </c>
      <c r="H44" s="604" t="str">
        <f>IF(OR('ФАСАД Рязань'!$T$6="Завод 'ТЕХНО' г.Рязань",'ФАСАД Рязань'!$T$6="Завод 'ТЕХНО' г.Заинск"),'ФАСАД Рязань'!E44,'ФАСАД Юрга'!E44)</f>
        <v>C</v>
      </c>
      <c r="I44" s="1181">
        <f>IF(OR('ФАСАД Рязань'!$T$6="Завод 'ТЕХНО' г.Рязань",'ФАСАД Рязань'!$T$6="Завод 'ТЕХНО' г.Заинск"),'ФАСАД Рязань'!I44,'ФАСАД Юрга'!I44)</f>
        <v>105.75360000000001</v>
      </c>
      <c r="J44" s="177">
        <v>335.92319999999995</v>
      </c>
      <c r="K44" s="97">
        <v>3</v>
      </c>
      <c r="L44" s="166">
        <f t="shared" si="7"/>
        <v>2.16</v>
      </c>
      <c r="M44" s="169">
        <f t="shared" si="8"/>
        <v>0.19440000000000002</v>
      </c>
      <c r="N44" s="97">
        <v>32</v>
      </c>
      <c r="O44" s="126">
        <f t="shared" si="5"/>
        <v>6.2208000000000006</v>
      </c>
      <c r="P44" s="231">
        <f t="shared" si="6"/>
        <v>68.42880000000001</v>
      </c>
      <c r="Q44" s="48"/>
      <c r="R44" s="88">
        <f t="shared" si="1"/>
        <v>847.38960000000009</v>
      </c>
      <c r="S44" s="786">
        <f>IFERROR(IF(OR('ФАСАД Рязань'!$T$6="Завод 'ТЕХНО' г.Рязань",'ФАСАД Рязань'!$T$6="Завод 'ТЕХНО' г.Заинск"),IF('ФАСАД Рязань'!$T$6="Завод 'ТЕХНО' г.Рязань",'ФАСАД Рязань'!R44*(1-'ФАСАД Рязань'!$V$5-'ФАСАД Рязань'!V44)+IFERROR(SEARCH("комп",J44)/SEARCH("комп",J44)*'ФАСАД Рязань'!$R$5,'ФАСАД Рязань'!S$5),'ФАСАД Заинск'!R44*(1-'ФАСАД Рязань'!$V$5-'ФАСАД Рязань'!V44)+IFERROR(SEARCH("комп",J44)/SEARCH("комп",J44)*'ФАСАД Рязань'!$R$5,'ФАСАД Рязань'!S$5)),'ФАСАД Юрга'!R44*(1-'ФАСАД Рязань'!$V$5-'ФАСАД Рязань'!V44)+IFERROR(SEARCH("комп",J44)/SEARCH("комп",J44)*'ФАСАД Рязань'!$R$5,'ФАСАД Рязань'!S$5)),"нет")</f>
        <v>4359</v>
      </c>
      <c r="T44" s="101">
        <f t="shared" si="2"/>
        <v>392.31</v>
      </c>
      <c r="U44" s="1221"/>
      <c r="V44" s="1229"/>
      <c r="W44" s="1221"/>
      <c r="X44" s="1154"/>
      <c r="Y44" s="1155"/>
      <c r="Z44" s="1156"/>
      <c r="AA44" s="1157"/>
      <c r="AB44" s="991"/>
      <c r="AC44" s="991"/>
      <c r="AD44" s="1022"/>
      <c r="AE44" s="746"/>
      <c r="AF44" s="82"/>
      <c r="AG44" s="2"/>
    </row>
    <row r="45" spans="1:33" ht="20.100000000000001" customHeight="1" thickBot="1" x14ac:dyDescent="0.3">
      <c r="A45" s="1246"/>
      <c r="B45" s="203">
        <v>1200</v>
      </c>
      <c r="C45" s="204">
        <v>600</v>
      </c>
      <c r="D45" s="209">
        <v>100</v>
      </c>
      <c r="E45" s="263"/>
      <c r="F45" s="263">
        <v>0</v>
      </c>
      <c r="G45" s="264" t="s">
        <v>169</v>
      </c>
      <c r="H45" s="604" t="str">
        <f>IF(OR('ФАСАД Рязань'!$T$6="Завод 'ТЕХНО' г.Рязань",'ФАСАД Рязань'!$T$6="Завод 'ТЕХНО' г.Заинск"),'ФАСАД Рязань'!E45,'ФАСАД Юрга'!E45)</f>
        <v>C</v>
      </c>
      <c r="I45" s="1181">
        <f>IF(OR('ФАСАД Рязань'!$T$6="Завод 'ТЕХНО' г.Рязань",'ФАСАД Рязань'!$T$6="Завод 'ТЕХНО' г.Заинск"),'ФАСАД Рязань'!I45,'ФАСАД Юрга'!I45)</f>
        <v>103.67999999999999</v>
      </c>
      <c r="J45" s="177"/>
      <c r="K45" s="97">
        <v>3</v>
      </c>
      <c r="L45" s="166">
        <f t="shared" si="7"/>
        <v>2.16</v>
      </c>
      <c r="M45" s="169">
        <f t="shared" si="8"/>
        <v>0.216</v>
      </c>
      <c r="N45" s="97">
        <v>32</v>
      </c>
      <c r="O45" s="126">
        <f t="shared" si="5"/>
        <v>6.9119999999999999</v>
      </c>
      <c r="P45" s="231">
        <f t="shared" si="6"/>
        <v>76.031999999999996</v>
      </c>
      <c r="Q45" s="266"/>
      <c r="R45" s="88">
        <f t="shared" si="1"/>
        <v>941.54399999999998</v>
      </c>
      <c r="S45" s="786">
        <f>IFERROR(IF(OR('ФАСАД Рязань'!$T$6="Завод 'ТЕХНО' г.Рязань",'ФАСАД Рязань'!$T$6="Завод 'ТЕХНО' г.Заинск"),IF('ФАСАД Рязань'!$T$6="Завод 'ТЕХНО' г.Рязань",'ФАСАД Рязань'!R45*(1-'ФАСАД Рязань'!$V$5-'ФАСАД Рязань'!V45)+IFERROR(SEARCH("комп",J45)/SEARCH("комп",J45)*'ФАСАД Рязань'!$R$5,'ФАСАД Рязань'!S$5),'ФАСАД Заинск'!R45*(1-'ФАСАД Рязань'!$V$5-'ФАСАД Рязань'!V45)+IFERROR(SEARCH("комп",J45)/SEARCH("комп",J45)*'ФАСАД Рязань'!$R$5,'ФАСАД Рязань'!S$5)),'ФАСАД Юрга'!R45*(1-'ФАСАД Рязань'!$V$5-'ФАСАД Рязань'!V45)+IFERROR(SEARCH("комп",J45)/SEARCH("комп",J45)*'ФАСАД Рязань'!$R$5,'ФАСАД Рязань'!S$5)),"нет")</f>
        <v>4359</v>
      </c>
      <c r="T45" s="101">
        <f t="shared" si="2"/>
        <v>435.9</v>
      </c>
      <c r="U45" s="1221"/>
      <c r="V45" s="1229"/>
      <c r="W45" s="1221"/>
      <c r="X45" s="1154"/>
      <c r="Y45" s="1155"/>
      <c r="Z45" s="1156"/>
      <c r="AA45" s="1157"/>
      <c r="AB45" s="991"/>
      <c r="AC45" s="991"/>
      <c r="AD45" s="1022"/>
      <c r="AE45" s="1104"/>
      <c r="AF45" s="82"/>
      <c r="AG45" s="2"/>
    </row>
    <row r="46" spans="1:33" ht="20.100000000000001" customHeight="1" thickBot="1" x14ac:dyDescent="0.3">
      <c r="A46" s="1246"/>
      <c r="B46" s="12">
        <v>1200</v>
      </c>
      <c r="C46" s="13">
        <v>600</v>
      </c>
      <c r="D46" s="14">
        <v>110</v>
      </c>
      <c r="E46" s="107">
        <v>100</v>
      </c>
      <c r="F46" s="116">
        <v>15.782828282828282</v>
      </c>
      <c r="G46" s="219" t="s">
        <v>170</v>
      </c>
      <c r="H46" s="604" t="str">
        <f>IF(OR('ФАСАД Рязань'!$T$6="Завод 'ТЕХНО' г.Рязань",'ФАСАД Рязань'!$T$6="Завод 'ТЕХНО' г.Заинск"),'ФАСАД Рязань'!E46,'ФАСАД Юрга'!E46)</f>
        <v>C</v>
      </c>
      <c r="I46" s="1181">
        <f>IF(OR('ФАСАД Рязань'!$T$6="Завод 'ТЕХНО' г.Рязань",'ФАСАД Рязань'!$T$6="Завод 'ТЕХНО' г.Заинск"),'ФАСАД Рязань'!I46,'ФАСАД Юрга'!I46)</f>
        <v>106.44480000000001</v>
      </c>
      <c r="J46" s="177">
        <v>304.12800000000004</v>
      </c>
      <c r="K46" s="47">
        <v>3</v>
      </c>
      <c r="L46" s="166">
        <f t="shared" si="7"/>
        <v>2.16</v>
      </c>
      <c r="M46" s="169">
        <f t="shared" si="8"/>
        <v>0.23760000000000003</v>
      </c>
      <c r="N46" s="97">
        <v>28</v>
      </c>
      <c r="O46" s="126">
        <f t="shared" si="5"/>
        <v>6.6528000000000009</v>
      </c>
      <c r="P46" s="231">
        <f t="shared" si="6"/>
        <v>73.180800000000005</v>
      </c>
      <c r="Q46" s="48"/>
      <c r="R46" s="88">
        <f t="shared" si="1"/>
        <v>1035.6984000000002</v>
      </c>
      <c r="S46" s="786">
        <f>IFERROR(IF(OR('ФАСАД Рязань'!$T$6="Завод 'ТЕХНО' г.Рязань",'ФАСАД Рязань'!$T$6="Завод 'ТЕХНО' г.Заинск"),IF('ФАСАД Рязань'!$T$6="Завод 'ТЕХНО' г.Рязань",'ФАСАД Рязань'!R46*(1-'ФАСАД Рязань'!$V$5-'ФАСАД Рязань'!V46)+IFERROR(SEARCH("комп",J46)/SEARCH("комп",J46)*'ФАСАД Рязань'!$R$5,'ФАСАД Рязань'!S$5),'ФАСАД Заинск'!R46*(1-'ФАСАД Рязань'!$V$5-'ФАСАД Рязань'!V46)+IFERROR(SEARCH("комп",J46)/SEARCH("комп",J46)*'ФАСАД Рязань'!$R$5,'ФАСАД Рязань'!S$5)),'ФАСАД Юрга'!R46*(1-'ФАСАД Рязань'!$V$5-'ФАСАД Рязань'!V46)+IFERROR(SEARCH("комп",J46)/SEARCH("комп",J46)*'ФАСАД Рязань'!$R$5,'ФАСАД Рязань'!S$5)),"нет")</f>
        <v>4359</v>
      </c>
      <c r="T46" s="101">
        <f t="shared" si="2"/>
        <v>479.49</v>
      </c>
      <c r="U46" s="1221"/>
      <c r="V46" s="1229"/>
      <c r="W46" s="1221"/>
      <c r="X46" s="1154"/>
      <c r="Y46" s="1155"/>
      <c r="Z46" s="1156"/>
      <c r="AA46" s="1157"/>
      <c r="AB46" s="991"/>
      <c r="AC46" s="991"/>
      <c r="AD46" s="1022"/>
      <c r="AE46" s="746"/>
      <c r="AF46" s="82"/>
      <c r="AG46" s="2"/>
    </row>
    <row r="47" spans="1:33" ht="20.100000000000001" customHeight="1" thickBot="1" x14ac:dyDescent="0.3">
      <c r="A47" s="1246"/>
      <c r="B47" s="12">
        <v>1200</v>
      </c>
      <c r="C47" s="13">
        <v>600</v>
      </c>
      <c r="D47" s="14">
        <v>120</v>
      </c>
      <c r="E47" s="107">
        <v>100</v>
      </c>
      <c r="F47" s="116">
        <v>14.467592592592592</v>
      </c>
      <c r="G47" s="219" t="s">
        <v>247</v>
      </c>
      <c r="H47" s="604" t="str">
        <f>IF(OR('ФАСАД Рязань'!$T$6="Завод 'ТЕХНО' г.Рязань",'ФАСАД Рязань'!$T$6="Завод 'ТЕХНО' г.Заинск"),'ФАСАД Рязань'!E47,'ФАСАД Юрга'!E47)</f>
        <v>C</v>
      </c>
      <c r="I47" s="1181">
        <f>IF(OR('ФАСАД Рязань'!$T$6="Завод 'ТЕХНО' г.Рязань",'ФАСАД Рязань'!$T$6="Завод 'ТЕХНО' г.Заинск"),'ФАСАД Рязань'!I47,'ФАСАД Юрга'!I47)</f>
        <v>103.67999999999998</v>
      </c>
      <c r="J47" s="723">
        <v>331.77600000000007</v>
      </c>
      <c r="K47" s="97">
        <v>2</v>
      </c>
      <c r="L47" s="166">
        <f t="shared" si="7"/>
        <v>1.44</v>
      </c>
      <c r="M47" s="169">
        <f t="shared" si="8"/>
        <v>0.17279999999999998</v>
      </c>
      <c r="N47" s="97">
        <v>40</v>
      </c>
      <c r="O47" s="126">
        <f t="shared" si="5"/>
        <v>6.911999999999999</v>
      </c>
      <c r="P47" s="231">
        <f t="shared" si="6"/>
        <v>76.031999999999982</v>
      </c>
      <c r="Q47" s="48"/>
      <c r="R47" s="88">
        <f t="shared" si="1"/>
        <v>753.23519999999996</v>
      </c>
      <c r="S47" s="786">
        <f>IFERROR(IF(OR('ФАСАД Рязань'!$T$6="Завод 'ТЕХНО' г.Рязань",'ФАСАД Рязань'!$T$6="Завод 'ТЕХНО' г.Заинск"),IF('ФАСАД Рязань'!$T$6="Завод 'ТЕХНО' г.Рязань",'ФАСАД Рязань'!R47*(1-'ФАСАД Рязань'!$V$5-'ФАСАД Рязань'!V47)+IFERROR(SEARCH("комп",J47)/SEARCH("комп",J47)*'ФАСАД Рязань'!$R$5,'ФАСАД Рязань'!S$5),'ФАСАД Заинск'!R47*(1-'ФАСАД Рязань'!$V$5-'ФАСАД Рязань'!V47)+IFERROR(SEARCH("комп",J47)/SEARCH("комп",J47)*'ФАСАД Рязань'!$R$5,'ФАСАД Рязань'!S$5)),'ФАСАД Юрга'!R47*(1-'ФАСАД Рязань'!$V$5-'ФАСАД Рязань'!V47)+IFERROR(SEARCH("комп",J47)/SEARCH("комп",J47)*'ФАСАД Рязань'!$R$5,'ФАСАД Рязань'!S$5)),"нет")</f>
        <v>4359</v>
      </c>
      <c r="T47" s="101">
        <f t="shared" si="2"/>
        <v>523.08000000000004</v>
      </c>
      <c r="U47" s="1221"/>
      <c r="V47" s="1229"/>
      <c r="W47" s="1221"/>
      <c r="X47" s="1154"/>
      <c r="Y47" s="1155"/>
      <c r="Z47" s="1156"/>
      <c r="AA47" s="1157"/>
      <c r="AB47" s="991"/>
      <c r="AC47" s="991"/>
      <c r="AD47" s="1022"/>
      <c r="AE47" s="746"/>
      <c r="AF47" s="82"/>
      <c r="AG47" s="2"/>
    </row>
    <row r="48" spans="1:33" ht="20.100000000000001" customHeight="1" thickBot="1" x14ac:dyDescent="0.3">
      <c r="A48" s="1246"/>
      <c r="B48" s="12">
        <v>1200</v>
      </c>
      <c r="C48" s="13">
        <v>600</v>
      </c>
      <c r="D48" s="14">
        <v>130</v>
      </c>
      <c r="E48" s="107">
        <v>100</v>
      </c>
      <c r="F48" s="116">
        <v>14.83855650522317</v>
      </c>
      <c r="G48" s="219" t="s">
        <v>171</v>
      </c>
      <c r="H48" s="604" t="str">
        <f>IF(OR('ФАСАД Рязань'!$T$6="Завод 'ТЕХНО' г.Рязань",'ФАСАД Рязань'!$T$6="Завод 'ТЕХНО' г.Заинск"),'ФАСАД Рязань'!E48,'ФАСАД Юрга'!E48)</f>
        <v>C</v>
      </c>
      <c r="I48" s="1181">
        <f>IF(OR('ФАСАД Рязань'!$T$6="Завод 'ТЕХНО' г.Рязань",'ФАСАД Рязань'!$T$6="Завод 'ТЕХНО' г.Заинск"),'ФАСАД Рязань'!I48,'ФАСАД Юрга'!I48)</f>
        <v>101.08799999999999</v>
      </c>
      <c r="J48" s="177">
        <v>323.48160000000001</v>
      </c>
      <c r="K48" s="47">
        <v>2</v>
      </c>
      <c r="L48" s="166">
        <f t="shared" si="7"/>
        <v>1.44</v>
      </c>
      <c r="M48" s="169">
        <f t="shared" si="8"/>
        <v>0.18719999999999998</v>
      </c>
      <c r="N48" s="97">
        <v>36</v>
      </c>
      <c r="O48" s="126">
        <f t="shared" si="5"/>
        <v>6.7391999999999994</v>
      </c>
      <c r="P48" s="231">
        <f t="shared" si="6"/>
        <v>74.131199999999993</v>
      </c>
      <c r="Q48" s="48"/>
      <c r="R48" s="88">
        <f t="shared" si="1"/>
        <v>816.00479999999993</v>
      </c>
      <c r="S48" s="786">
        <f>IFERROR(IF(OR('ФАСАД Рязань'!$T$6="Завод 'ТЕХНО' г.Рязань",'ФАСАД Рязань'!$T$6="Завод 'ТЕХНО' г.Заинск"),IF('ФАСАД Рязань'!$T$6="Завод 'ТЕХНО' г.Рязань",'ФАСАД Рязань'!R48*(1-'ФАСАД Рязань'!$V$5-'ФАСАД Рязань'!V48)+IFERROR(SEARCH("комп",J48)/SEARCH("комп",J48)*'ФАСАД Рязань'!$R$5,'ФАСАД Рязань'!S$5),'ФАСАД Заинск'!R48*(1-'ФАСАД Рязань'!$V$5-'ФАСАД Рязань'!V48)+IFERROR(SEARCH("комп",J48)/SEARCH("комп",J48)*'ФАСАД Рязань'!$R$5,'ФАСАД Рязань'!S$5)),'ФАСАД Юрга'!R48*(1-'ФАСАД Рязань'!$V$5-'ФАСАД Рязань'!V48)+IFERROR(SEARCH("комп",J48)/SEARCH("комп",J48)*'ФАСАД Рязань'!$R$5,'ФАСАД Рязань'!S$5)),"нет")</f>
        <v>4359</v>
      </c>
      <c r="T48" s="101">
        <f t="shared" si="2"/>
        <v>566.66999999999996</v>
      </c>
      <c r="U48" s="1221"/>
      <c r="V48" s="1229"/>
      <c r="W48" s="1221"/>
      <c r="X48" s="1154"/>
      <c r="Y48" s="1155"/>
      <c r="Z48" s="1156"/>
      <c r="AA48" s="1157"/>
      <c r="AB48" s="991"/>
      <c r="AC48" s="991"/>
      <c r="AD48" s="1022"/>
      <c r="AE48" s="746"/>
      <c r="AF48" s="82"/>
      <c r="AG48" s="2"/>
    </row>
    <row r="49" spans="1:33" ht="20.100000000000001" customHeight="1" thickBot="1" x14ac:dyDescent="0.3">
      <c r="A49" s="1246"/>
      <c r="B49" s="12">
        <v>1200</v>
      </c>
      <c r="C49" s="13">
        <v>600</v>
      </c>
      <c r="D49" s="14">
        <v>140</v>
      </c>
      <c r="E49" s="107">
        <v>100</v>
      </c>
      <c r="F49" s="116">
        <v>15.500992063492063</v>
      </c>
      <c r="G49" s="219" t="s">
        <v>172</v>
      </c>
      <c r="H49" s="604" t="str">
        <f>IF(OR('ФАСАД Рязань'!$T$6="Завод 'ТЕХНО' г.Рязань",'ФАСАД Рязань'!$T$6="Завод 'ТЕХНО' г.Заинск"),'ФАСАД Рязань'!E49,'ФАСАД Юрга'!E49)</f>
        <v>C</v>
      </c>
      <c r="I49" s="1181">
        <f>IF(OR('ФАСАД Рязань'!$T$6="Завод 'ТЕХНО' г.Рязань",'ФАСАД Рязань'!$T$6="Завод 'ТЕХНО' г.Заинск"),'ФАСАД Рязань'!I49,'ФАСАД Юрга'!I49)</f>
        <v>103.2192</v>
      </c>
      <c r="J49" s="177">
        <v>309.6576</v>
      </c>
      <c r="K49" s="47">
        <v>2</v>
      </c>
      <c r="L49" s="166">
        <f t="shared" si="7"/>
        <v>1.44</v>
      </c>
      <c r="M49" s="169">
        <f t="shared" si="8"/>
        <v>0.2016</v>
      </c>
      <c r="N49" s="97">
        <v>32</v>
      </c>
      <c r="O49" s="126">
        <f t="shared" si="5"/>
        <v>6.4512</v>
      </c>
      <c r="P49" s="231">
        <f t="shared" si="6"/>
        <v>70.963200000000001</v>
      </c>
      <c r="Q49" s="48"/>
      <c r="R49" s="88">
        <f t="shared" si="1"/>
        <v>878.77440000000001</v>
      </c>
      <c r="S49" s="786">
        <f>IFERROR(IF(OR('ФАСАД Рязань'!$T$6="Завод 'ТЕХНО' г.Рязань",'ФАСАД Рязань'!$T$6="Завод 'ТЕХНО' г.Заинск"),IF('ФАСАД Рязань'!$T$6="Завод 'ТЕХНО' г.Рязань",'ФАСАД Рязань'!R49*(1-'ФАСАД Рязань'!$V$5-'ФАСАД Рязань'!V49)+IFERROR(SEARCH("комп",J49)/SEARCH("комп",J49)*'ФАСАД Рязань'!$R$5,'ФАСАД Рязань'!S$5),'ФАСАД Заинск'!R49*(1-'ФАСАД Рязань'!$V$5-'ФАСАД Рязань'!V49)+IFERROR(SEARCH("комп",J49)/SEARCH("комп",J49)*'ФАСАД Рязань'!$R$5,'ФАСАД Рязань'!S$5)),'ФАСАД Юрга'!R49*(1-'ФАСАД Рязань'!$V$5-'ФАСАД Рязань'!V49)+IFERROR(SEARCH("комп",J49)/SEARCH("комп",J49)*'ФАСАД Рязань'!$R$5,'ФАСАД Рязань'!S$5)),"нет")</f>
        <v>4359</v>
      </c>
      <c r="T49" s="101">
        <f t="shared" si="2"/>
        <v>610.26</v>
      </c>
      <c r="U49" s="1221"/>
      <c r="V49" s="1229"/>
      <c r="W49" s="1221"/>
      <c r="X49" s="1154"/>
      <c r="Y49" s="1155"/>
      <c r="Z49" s="1156"/>
      <c r="AA49" s="1157"/>
      <c r="AB49" s="991"/>
      <c r="AC49" s="991"/>
      <c r="AD49" s="1022"/>
      <c r="AE49" s="746"/>
      <c r="AF49" s="82"/>
      <c r="AG49" s="2"/>
    </row>
    <row r="50" spans="1:33" ht="20.100000000000001" customHeight="1" thickBot="1" x14ac:dyDescent="0.3">
      <c r="A50" s="1246"/>
      <c r="B50" s="12">
        <v>1200</v>
      </c>
      <c r="C50" s="13">
        <v>600</v>
      </c>
      <c r="D50" s="14">
        <v>150</v>
      </c>
      <c r="E50" s="107">
        <v>100</v>
      </c>
      <c r="F50" s="116">
        <v>14.467592592592593</v>
      </c>
      <c r="G50" s="219" t="s">
        <v>248</v>
      </c>
      <c r="H50" s="604" t="str">
        <f>IF(OR('ФАСАД Рязань'!$T$6="Завод 'ТЕХНО' г.Рязань",'ФАСАД Рязань'!$T$6="Завод 'ТЕХНО' г.Заинск"),'ФАСАД Рязань'!E50,'ФАСАД Юрга'!E50)</f>
        <v>C</v>
      </c>
      <c r="I50" s="1181">
        <f>IF(OR('ФАСАД Рязань'!$T$6="Завод 'ТЕХНО' г.Рязань",'ФАСАД Рязань'!$T$6="Завод 'ТЕХНО' г.Заинск"),'ФАСАД Рязань'!I50,'ФАСАД Юрга'!I50)</f>
        <v>103.67999999999999</v>
      </c>
      <c r="J50" s="177">
        <v>331.77600000000001</v>
      </c>
      <c r="K50" s="47">
        <v>2</v>
      </c>
      <c r="L50" s="166">
        <f t="shared" si="7"/>
        <v>1.44</v>
      </c>
      <c r="M50" s="169">
        <f t="shared" si="8"/>
        <v>0.216</v>
      </c>
      <c r="N50" s="97">
        <v>32</v>
      </c>
      <c r="O50" s="126">
        <f t="shared" si="5"/>
        <v>6.9119999999999999</v>
      </c>
      <c r="P50" s="231">
        <f t="shared" si="6"/>
        <v>76.031999999999996</v>
      </c>
      <c r="Q50" s="48"/>
      <c r="R50" s="88">
        <f t="shared" si="1"/>
        <v>941.54399999999998</v>
      </c>
      <c r="S50" s="786">
        <f>IFERROR(IF(OR('ФАСАД Рязань'!$T$6="Завод 'ТЕХНО' г.Рязань",'ФАСАД Рязань'!$T$6="Завод 'ТЕХНО' г.Заинск"),IF('ФАСАД Рязань'!$T$6="Завод 'ТЕХНО' г.Рязань",'ФАСАД Рязань'!R50*(1-'ФАСАД Рязань'!$V$5-'ФАСАД Рязань'!V50)+IFERROR(SEARCH("комп",J50)/SEARCH("комп",J50)*'ФАСАД Рязань'!$R$5,'ФАСАД Рязань'!S$5),'ФАСАД Заинск'!R50*(1-'ФАСАД Рязань'!$V$5-'ФАСАД Рязань'!V50)+IFERROR(SEARCH("комп",J50)/SEARCH("комп",J50)*'ФАСАД Рязань'!$R$5,'ФАСАД Рязань'!S$5)),'ФАСАД Юрга'!R50*(1-'ФАСАД Рязань'!$V$5-'ФАСАД Рязань'!V50)+IFERROR(SEARCH("комп",J50)/SEARCH("комп",J50)*'ФАСАД Рязань'!$R$5,'ФАСАД Рязань'!S$5)),"нет")</f>
        <v>4359</v>
      </c>
      <c r="T50" s="101">
        <f t="shared" si="2"/>
        <v>653.85</v>
      </c>
      <c r="U50" s="1221"/>
      <c r="V50" s="1229"/>
      <c r="W50" s="1221"/>
      <c r="X50" s="1154"/>
      <c r="Y50" s="1155"/>
      <c r="Z50" s="1156"/>
      <c r="AA50" s="1157"/>
      <c r="AB50" s="991"/>
      <c r="AC50" s="991"/>
      <c r="AD50" s="1022"/>
      <c r="AE50" s="746"/>
      <c r="AF50" s="82"/>
      <c r="AG50" s="2"/>
    </row>
    <row r="51" spans="1:33" ht="20.100000000000001" customHeight="1" thickBot="1" x14ac:dyDescent="0.3">
      <c r="A51" s="1246"/>
      <c r="B51" s="12">
        <v>1200</v>
      </c>
      <c r="C51" s="13">
        <v>600</v>
      </c>
      <c r="D51" s="14">
        <v>160</v>
      </c>
      <c r="E51" s="107">
        <v>100</v>
      </c>
      <c r="F51" s="116">
        <v>15.500992063492063</v>
      </c>
      <c r="G51" s="219" t="s">
        <v>173</v>
      </c>
      <c r="H51" s="604" t="str">
        <f>IF(OR('ФАСАД Рязань'!$T$6="Завод 'ТЕХНО' г.Рязань",'ФАСАД Рязань'!$T$6="Завод 'ТЕХНО' г.Заинск"),'ФАСАД Рязань'!E51,'ФАСАД Юрга'!E51)</f>
        <v>C</v>
      </c>
      <c r="I51" s="1181">
        <f>IF(OR('ФАСАД Рязань'!$T$6="Завод 'ТЕХНО' г.Рязань",'ФАСАД Рязань'!$T$6="Завод 'ТЕХНО' г.Заинск"),'ФАСАД Рязань'!I51,'ФАСАД Юрга'!I51)</f>
        <v>103.21919999999999</v>
      </c>
      <c r="J51" s="177">
        <v>309.6576</v>
      </c>
      <c r="K51" s="47">
        <v>2</v>
      </c>
      <c r="L51" s="166">
        <f t="shared" si="7"/>
        <v>1.44</v>
      </c>
      <c r="M51" s="169">
        <f t="shared" si="8"/>
        <v>0.23039999999999997</v>
      </c>
      <c r="N51" s="97">
        <v>28</v>
      </c>
      <c r="O51" s="126">
        <f t="shared" si="5"/>
        <v>6.4511999999999992</v>
      </c>
      <c r="P51" s="231">
        <f t="shared" si="6"/>
        <v>70.963199999999986</v>
      </c>
      <c r="Q51" s="48"/>
      <c r="R51" s="88">
        <f t="shared" si="1"/>
        <v>1004.3135999999998</v>
      </c>
      <c r="S51" s="786">
        <f>IFERROR(IF(OR('ФАСАД Рязань'!$T$6="Завод 'ТЕХНО' г.Рязань",'ФАСАД Рязань'!$T$6="Завод 'ТЕХНО' г.Заинск"),IF('ФАСАД Рязань'!$T$6="Завод 'ТЕХНО' г.Рязань",'ФАСАД Рязань'!R51*(1-'ФАСАД Рязань'!$V$5-'ФАСАД Рязань'!V51)+IFERROR(SEARCH("комп",J51)/SEARCH("комп",J51)*'ФАСАД Рязань'!$R$5,'ФАСАД Рязань'!S$5),'ФАСАД Заинск'!R51*(1-'ФАСАД Рязань'!$V$5-'ФАСАД Рязань'!V51)+IFERROR(SEARCH("комп",J51)/SEARCH("комп",J51)*'ФАСАД Рязань'!$R$5,'ФАСАД Рязань'!S$5)),'ФАСАД Юрга'!R51*(1-'ФАСАД Рязань'!$V$5-'ФАСАД Рязань'!V51)+IFERROR(SEARCH("комп",J51)/SEARCH("комп",J51)*'ФАСАД Рязань'!$R$5,'ФАСАД Рязань'!S$5)),"нет")</f>
        <v>4359</v>
      </c>
      <c r="T51" s="101">
        <f t="shared" si="2"/>
        <v>697.44</v>
      </c>
      <c r="U51" s="1221"/>
      <c r="V51" s="1229"/>
      <c r="W51" s="1221"/>
      <c r="X51" s="1154"/>
      <c r="Y51" s="1155"/>
      <c r="Z51" s="1156"/>
      <c r="AA51" s="1157"/>
      <c r="AB51" s="991"/>
      <c r="AC51" s="991"/>
      <c r="AD51" s="1022"/>
      <c r="AE51" s="746"/>
      <c r="AF51" s="82"/>
      <c r="AG51" s="2"/>
    </row>
    <row r="52" spans="1:33" ht="20.100000000000001" customHeight="1" thickBot="1" x14ac:dyDescent="0.3">
      <c r="A52" s="1246"/>
      <c r="B52" s="203">
        <v>1200</v>
      </c>
      <c r="C52" s="204">
        <v>600</v>
      </c>
      <c r="D52" s="209">
        <v>170</v>
      </c>
      <c r="E52" s="263">
        <v>100</v>
      </c>
      <c r="F52" s="263">
        <v>14.589169000933706</v>
      </c>
      <c r="G52" s="264" t="s">
        <v>174</v>
      </c>
      <c r="H52" s="604" t="str">
        <f>IF(OR('ФАСАД Рязань'!$T$6="Завод 'ТЕХНО' г.Рязань",'ФАСАД Рязань'!$T$6="Завод 'ТЕХНО' г.Заинск"),'ФАСАД Рязань'!E52,'ФАСАД Юрга'!E52)</f>
        <v>C</v>
      </c>
      <c r="I52" s="1181">
        <f>IF(OR('ФАСАД Рязань'!$T$6="Завод 'ТЕХНО' г.Рязань",'ФАСАД Рязань'!$T$6="Завод 'ТЕХНО' г.Заинск"),'ФАСАД Рязань'!I52,'ФАСАД Юрга'!I52)</f>
        <v>102.816</v>
      </c>
      <c r="J52" s="177">
        <v>329.01120000000003</v>
      </c>
      <c r="K52" s="97">
        <v>2</v>
      </c>
      <c r="L52" s="166">
        <f t="shared" si="7"/>
        <v>1.44</v>
      </c>
      <c r="M52" s="169">
        <f t="shared" si="8"/>
        <v>0.24479999999999999</v>
      </c>
      <c r="N52" s="97">
        <v>28</v>
      </c>
      <c r="O52" s="126">
        <f t="shared" si="5"/>
        <v>6.8544</v>
      </c>
      <c r="P52" s="231">
        <f t="shared" si="6"/>
        <v>75.398399999999995</v>
      </c>
      <c r="Q52" s="266"/>
      <c r="R52" s="88">
        <f t="shared" si="1"/>
        <v>1067.0832</v>
      </c>
      <c r="S52" s="786">
        <f>IFERROR(IF(OR('ФАСАД Рязань'!$T$6="Завод 'ТЕХНО' г.Рязань",'ФАСАД Рязань'!$T$6="Завод 'ТЕХНО' г.Заинск"),IF('ФАСАД Рязань'!$T$6="Завод 'ТЕХНО' г.Рязань",'ФАСАД Рязань'!R52*(1-'ФАСАД Рязань'!$V$5-'ФАСАД Рязань'!V52)+IFERROR(SEARCH("комп",J52)/SEARCH("комп",J52)*'ФАСАД Рязань'!$R$5,'ФАСАД Рязань'!S$5),'ФАСАД Заинск'!R52*(1-'ФАСАД Рязань'!$V$5-'ФАСАД Рязань'!V52)+IFERROR(SEARCH("комп",J52)/SEARCH("комп",J52)*'ФАСАД Рязань'!$R$5,'ФАСАД Рязань'!S$5)),'ФАСАД Юрга'!R52*(1-'ФАСАД Рязань'!$V$5-'ФАСАД Рязань'!V52)+IFERROR(SEARCH("комп",J52)/SEARCH("комп",J52)*'ФАСАД Рязань'!$R$5,'ФАСАД Рязань'!S$5)),"нет")</f>
        <v>4359</v>
      </c>
      <c r="T52" s="101">
        <f t="shared" si="2"/>
        <v>741.03</v>
      </c>
      <c r="U52" s="1221"/>
      <c r="V52" s="1229"/>
      <c r="W52" s="1221"/>
      <c r="X52" s="1154"/>
      <c r="Y52" s="1155"/>
      <c r="Z52" s="1156"/>
      <c r="AA52" s="1157"/>
      <c r="AB52" s="991"/>
      <c r="AC52" s="991"/>
      <c r="AD52" s="1022"/>
      <c r="AE52" s="746"/>
      <c r="AF52" s="82"/>
      <c r="AG52" s="2"/>
    </row>
    <row r="53" spans="1:33" ht="20.100000000000001" customHeight="1" thickBot="1" x14ac:dyDescent="0.3">
      <c r="A53" s="1246"/>
      <c r="B53" s="240">
        <v>1200</v>
      </c>
      <c r="C53" s="241">
        <v>600</v>
      </c>
      <c r="D53" s="242">
        <v>180</v>
      </c>
      <c r="E53" s="289">
        <v>100</v>
      </c>
      <c r="F53" s="289">
        <v>16.075102880658438</v>
      </c>
      <c r="G53" s="317" t="s">
        <v>175</v>
      </c>
      <c r="H53" s="604" t="str">
        <f>IF(OR('ФАСАД Рязань'!$T$6="Завод 'ТЕХНО' г.Рязань",'ФАСАД Рязань'!$T$6="Завод 'ТЕХНО' г.Заинск"),'ФАСАД Рязань'!E53,'ФАСАД Юрга'!E53)</f>
        <v>C</v>
      </c>
      <c r="I53" s="1182">
        <f>IF(OR('ФАСАД Рязань'!$T$6="Завод 'ТЕХНО' г.Рязань",'ФАСАД Рязань'!$T$6="Завод 'ТЕХНО' г.Заинск"),'ФАСАД Рязань'!I53,'ФАСАД Юрга'!I53)</f>
        <v>105.75359999999999</v>
      </c>
      <c r="J53" s="455">
        <v>298.59839999999997</v>
      </c>
      <c r="K53" s="306">
        <v>2</v>
      </c>
      <c r="L53" s="167">
        <f t="shared" si="7"/>
        <v>1.44</v>
      </c>
      <c r="M53" s="307">
        <f t="shared" si="8"/>
        <v>0.25919999999999999</v>
      </c>
      <c r="N53" s="306">
        <v>24</v>
      </c>
      <c r="O53" s="129">
        <f t="shared" si="5"/>
        <v>6.2207999999999997</v>
      </c>
      <c r="P53" s="260">
        <f t="shared" si="6"/>
        <v>68.428799999999995</v>
      </c>
      <c r="Q53" s="308"/>
      <c r="R53" s="479">
        <f t="shared" si="1"/>
        <v>1129.8527999999999</v>
      </c>
      <c r="S53" s="787">
        <f>IFERROR(IF(OR('ФАСАД Рязань'!$T$6="Завод 'ТЕХНО' г.Рязань",'ФАСАД Рязань'!$T$6="Завод 'ТЕХНО' г.Заинск"),IF('ФАСАД Рязань'!$T$6="Завод 'ТЕХНО' г.Рязань",'ФАСАД Рязань'!R53*(1-'ФАСАД Рязань'!$V$5-'ФАСАД Рязань'!V53)+IFERROR(SEARCH("комп",J53)/SEARCH("комп",J53)*'ФАСАД Рязань'!$R$5,'ФАСАД Рязань'!S$5),'ФАСАД Заинск'!R53*(1-'ФАСАД Рязань'!$V$5-'ФАСАД Рязань'!V53)+IFERROR(SEARCH("комп",J53)/SEARCH("комп",J53)*'ФАСАД Рязань'!$R$5,'ФАСАД Рязань'!S$5)),'ФАСАД Юрга'!R53*(1-'ФАСАД Рязань'!$V$5-'ФАСАД Рязань'!V53)+IFERROR(SEARCH("комп",J53)/SEARCH("комп",J53)*'ФАСАД Рязань'!$R$5,'ФАСАД Рязань'!S$5)),"нет")</f>
        <v>4359</v>
      </c>
      <c r="T53" s="102">
        <f t="shared" si="2"/>
        <v>784.62</v>
      </c>
      <c r="U53" s="1221"/>
      <c r="V53" s="1229"/>
      <c r="W53" s="1221"/>
      <c r="X53" s="1154"/>
      <c r="Y53" s="1155"/>
      <c r="Z53" s="1156"/>
      <c r="AA53" s="1157"/>
      <c r="AB53" s="991"/>
      <c r="AC53" s="991"/>
      <c r="AD53" s="1022"/>
      <c r="AE53" s="746"/>
      <c r="AF53" s="82"/>
      <c r="AG53" s="2"/>
    </row>
    <row r="54" spans="1:33" ht="20.100000000000001" hidden="1" customHeight="1" thickBot="1" x14ac:dyDescent="0.3">
      <c r="A54" s="1246"/>
      <c r="B54" s="249">
        <v>1200</v>
      </c>
      <c r="C54" s="287">
        <v>600</v>
      </c>
      <c r="D54" s="288">
        <v>190</v>
      </c>
      <c r="E54" s="319">
        <v>100</v>
      </c>
      <c r="F54" s="319">
        <v>15.229044834307993</v>
      </c>
      <c r="G54" s="310" t="s">
        <v>176</v>
      </c>
      <c r="H54" s="604" t="str">
        <f>IF(OR('ФАСАД Рязань'!$T$6="Завод 'ТЕХНО' г.Рязань",'ФАСАД Рязань'!$T$6="Завод 'ТЕХНО' г.Заинск"),'ФАСАД Рязань'!E54,'ФАСАД Юрга'!E54)</f>
        <v>C</v>
      </c>
      <c r="I54" s="594">
        <f>IF(OR('ФАСАД Рязань'!$T$6="Завод 'ТЕХНО' г.Рязань",'ФАСАД Рязань'!$T$6="Завод 'ТЕХНО' г.Заинск"),'ФАСАД Рязань'!I54,'ФАСАД Юрга'!I54)</f>
        <v>105.06239999999998</v>
      </c>
      <c r="J54" s="178">
        <v>315.18719999999996</v>
      </c>
      <c r="K54" s="320">
        <v>2</v>
      </c>
      <c r="L54" s="168">
        <f t="shared" si="7"/>
        <v>1.44</v>
      </c>
      <c r="M54" s="265">
        <f t="shared" si="8"/>
        <v>0.27359999999999995</v>
      </c>
      <c r="N54" s="320">
        <v>24</v>
      </c>
      <c r="O54" s="132">
        <f t="shared" si="5"/>
        <v>6.5663999999999989</v>
      </c>
      <c r="P54" s="223">
        <f t="shared" si="6"/>
        <v>72.230399999999989</v>
      </c>
      <c r="Q54" s="612"/>
      <c r="R54" s="88">
        <f t="shared" si="1"/>
        <v>1192.6223999999997</v>
      </c>
      <c r="S54" s="786">
        <f>IFERROR(IF(OR('ФАСАД Рязань'!$T$6="Завод 'ТЕХНО' г.Рязань",'ФАСАД Рязань'!$T$6="Завод 'ТЕХНО' г.Заинск"),IF('ФАСАД Рязань'!$T$6="Завод 'ТЕХНО' г.Рязань",'ФАСАД Рязань'!R54*(1-'ФАСАД Рязань'!$V$5-'ФАСАД Рязань'!V54)+IFERROR(SEARCH("комп",J54)/SEARCH("комп",J54)*'ФАСАД Рязань'!$R$5,'ФАСАД Рязань'!S$5),'ФАСАД Заинск'!R54*(1-'ФАСАД Рязань'!$V$5-'ФАСАД Рязань'!V54)+IFERROR(SEARCH("комп",J54)/SEARCH("комп",J54)*'ФАСАД Рязань'!$R$5,'ФАСАД Рязань'!S$5)),'ФАСАД Юрга'!R54*(1-'ФАСАД Рязань'!$V$5-'ФАСАД Рязань'!V54)+IFERROR(SEARCH("комп",J54)/SEARCH("комп",J54)*'ФАСАД Рязань'!$R$5,'ФАСАД Рязань'!S$5)),"нет")</f>
        <v>4359</v>
      </c>
      <c r="T54" s="101">
        <f t="shared" si="2"/>
        <v>828.21</v>
      </c>
      <c r="U54" s="1221"/>
      <c r="V54" s="1229"/>
      <c r="W54" s="1221"/>
      <c r="X54" s="1154"/>
      <c r="Y54" s="1155"/>
      <c r="Z54" s="1156"/>
      <c r="AA54" s="1157"/>
      <c r="AB54" s="991"/>
      <c r="AC54" s="991"/>
      <c r="AD54" s="1022"/>
      <c r="AE54" s="746"/>
      <c r="AF54" s="82"/>
      <c r="AG54" s="2"/>
    </row>
    <row r="55" spans="1:33" ht="20.100000000000001" hidden="1" customHeight="1" thickBot="1" x14ac:dyDescent="0.3">
      <c r="A55" s="1247"/>
      <c r="B55" s="240">
        <v>1200</v>
      </c>
      <c r="C55" s="241">
        <v>600</v>
      </c>
      <c r="D55" s="242">
        <v>200</v>
      </c>
      <c r="E55" s="316">
        <v>100</v>
      </c>
      <c r="F55" s="289">
        <v>14.467592592592595</v>
      </c>
      <c r="G55" s="317" t="s">
        <v>177</v>
      </c>
      <c r="H55" s="604" t="str">
        <f>IF(OR('ФАСАД Рязань'!$T$6="Завод 'ТЕХНО' г.Рязань",'ФАСАД Рязань'!$T$6="Завод 'ТЕХНО' г.Заинск"),'ФАСАД Рязань'!E55,'ФАСАД Юрга'!E55)</f>
        <v>C</v>
      </c>
      <c r="I55" s="592">
        <f>IF(OR('ФАСАД Рязань'!$T$6="Завод 'ТЕХНО' г.Рязань",'ФАСАД Рязань'!$T$6="Завод 'ТЕХНО' г.Заинск"),'ФАСАД Рязань'!I55,'ФАСАД Юрга'!I55)</f>
        <v>103.67999999999998</v>
      </c>
      <c r="J55" s="445">
        <v>331.77599999999995</v>
      </c>
      <c r="K55" s="306">
        <v>1</v>
      </c>
      <c r="L55" s="166">
        <f t="shared" si="7"/>
        <v>0.72</v>
      </c>
      <c r="M55" s="169">
        <f t="shared" si="8"/>
        <v>0.14399999999999999</v>
      </c>
      <c r="N55" s="97">
        <v>48</v>
      </c>
      <c r="O55" s="126">
        <f t="shared" si="5"/>
        <v>6.911999999999999</v>
      </c>
      <c r="P55" s="231">
        <f t="shared" si="6"/>
        <v>76.031999999999982</v>
      </c>
      <c r="Q55" s="308"/>
      <c r="R55" s="88">
        <f t="shared" si="1"/>
        <v>627.69599999999991</v>
      </c>
      <c r="S55" s="786">
        <f>IFERROR(IF(OR('ФАСАД Рязань'!$T$6="Завод 'ТЕХНО' г.Рязань",'ФАСАД Рязань'!$T$6="Завод 'ТЕХНО' г.Заинск"),IF('ФАСАД Рязань'!$T$6="Завод 'ТЕХНО' г.Рязань",'ФАСАД Рязань'!R55*(1-'ФАСАД Рязань'!$V$5-'ФАСАД Рязань'!V55)+IFERROR(SEARCH("комп",J55)/SEARCH("комп",J55)*'ФАСАД Рязань'!$R$5,'ФАСАД Рязань'!S$5),'ФАСАД Заинск'!R55*(1-'ФАСАД Рязань'!$V$5-'ФАСАД Рязань'!V55)+IFERROR(SEARCH("комп",J55)/SEARCH("комп",J55)*'ФАСАД Рязань'!$R$5,'ФАСАД Рязань'!S$5)),'ФАСАД Юрга'!R55*(1-'ФАСАД Рязань'!$V$5-'ФАСАД Рязань'!V55)+IFERROR(SEARCH("комп",J55)/SEARCH("комп",J55)*'ФАСАД Рязань'!$R$5,'ФАСАД Рязань'!S$5)),"нет")</f>
        <v>4359</v>
      </c>
      <c r="T55" s="101">
        <f t="shared" si="2"/>
        <v>871.8</v>
      </c>
      <c r="U55" s="1221"/>
      <c r="V55" s="1229"/>
      <c r="W55" s="1221"/>
      <c r="X55" s="1154"/>
      <c r="Y55" s="1155"/>
      <c r="Z55" s="1156"/>
      <c r="AA55" s="1157"/>
      <c r="AB55" s="991"/>
      <c r="AC55" s="991"/>
      <c r="AD55" s="1022"/>
      <c r="AE55" s="746"/>
      <c r="AF55" s="82"/>
      <c r="AG55" s="2"/>
    </row>
    <row r="56" spans="1:33" ht="20.100000000000001" customHeight="1" thickBot="1" x14ac:dyDescent="0.3">
      <c r="A56" s="35" t="s">
        <v>13</v>
      </c>
      <c r="B56" s="252">
        <v>1200</v>
      </c>
      <c r="C56" s="250">
        <v>600</v>
      </c>
      <c r="D56" s="251">
        <v>50</v>
      </c>
      <c r="E56" s="319"/>
      <c r="F56" s="319">
        <v>0</v>
      </c>
      <c r="G56" s="310" t="s">
        <v>700</v>
      </c>
      <c r="H56" s="604" t="str">
        <f>IF(OR('ФАСАД Рязань'!$T$6="Завод 'ТЕХНО' г.Рязань",'ФАСАД Рязань'!$T$6="Завод 'ТЕХНО' г.Заинск"),'ФАСАД Рязань'!E56,'ФАСАД Юрга'!E56)</f>
        <v>Б</v>
      </c>
      <c r="I56" s="1181" t="str">
        <f>IF(OR('ФАСАД Рязань'!$T$6="Завод 'ТЕХНО' г.Рязань",'ФАСАД Рязань'!$T$6="Завод 'ТЕХНО' г.Заинск"),'ФАСАД Рязань'!I56,'ФАСАД Юрга'!I56)</f>
        <v xml:space="preserve"> </v>
      </c>
      <c r="J56" s="178"/>
      <c r="K56" s="311">
        <v>6</v>
      </c>
      <c r="L56" s="166">
        <f t="shared" si="7"/>
        <v>4.32</v>
      </c>
      <c r="M56" s="169">
        <f t="shared" si="8"/>
        <v>0.216</v>
      </c>
      <c r="N56" s="97">
        <v>32</v>
      </c>
      <c r="O56" s="126">
        <f t="shared" si="5"/>
        <v>6.9119999999999999</v>
      </c>
      <c r="P56" s="231">
        <f t="shared" si="6"/>
        <v>76.031999999999996</v>
      </c>
      <c r="Q56" s="321"/>
      <c r="R56" s="88">
        <f t="shared" si="1"/>
        <v>1389.7439999999999</v>
      </c>
      <c r="S56" s="786">
        <f>IFERROR(IF(OR('ФАСАД Рязань'!$T$6="Завод 'ТЕХНО' г.Рязань",'ФАСАД Рязань'!$T$6="Завод 'ТЕХНО' г.Заинск"),IF('ФАСАД Рязань'!$T$6="Завод 'ТЕХНО' г.Рязань",'ФАСАД Рязань'!R56*(1-'ФАСАД Рязань'!$V$5-'ФАСАД Рязань'!V56)+IFERROR(SEARCH("комп",J56)/SEARCH("комп",J56)*'ФАСАД Рязань'!$R$5,'ФАСАД Рязань'!S$5),'ФАСАД Заинск'!R56*(1-'ФАСАД Рязань'!$V$5-'ФАСАД Рязань'!V56)+IFERROR(SEARCH("комп",J56)/SEARCH("комп",J56)*'ФАСАД Рязань'!$R$5,'ФАСАД Рязань'!S$5)),'ФАСАД Юрга'!R56*(1-'ФАСАД Рязань'!$V$5-'ФАСАД Рязань'!V56)+IFERROR(SEARCH("комп",J56)/SEARCH("комп",J56)*'ФАСАД Рязань'!$R$5,'ФАСАД Рязань'!S$5)),"нет")</f>
        <v>6434</v>
      </c>
      <c r="T56" s="101">
        <f t="shared" si="2"/>
        <v>321.7</v>
      </c>
      <c r="U56" s="1221"/>
      <c r="V56" s="1229"/>
      <c r="W56" s="1221"/>
      <c r="X56" s="1154"/>
      <c r="Y56" s="1155"/>
      <c r="Z56" s="1156"/>
      <c r="AA56" s="1157"/>
      <c r="AB56" s="991"/>
      <c r="AC56" s="991"/>
      <c r="AD56" s="1022"/>
      <c r="AE56" s="1104"/>
      <c r="AF56" s="82"/>
      <c r="AG56" s="2"/>
    </row>
    <row r="57" spans="1:33" ht="20.100000000000001" customHeight="1" thickBot="1" x14ac:dyDescent="0.3">
      <c r="A57" s="708" t="s">
        <v>30</v>
      </c>
      <c r="B57" s="203">
        <v>1200</v>
      </c>
      <c r="C57" s="204">
        <v>600</v>
      </c>
      <c r="D57" s="209">
        <v>60</v>
      </c>
      <c r="E57" s="263">
        <v>71.428571428571431</v>
      </c>
      <c r="F57" s="263">
        <v>10.333994708994709</v>
      </c>
      <c r="G57" s="264" t="s">
        <v>154</v>
      </c>
      <c r="H57" s="604" t="str">
        <f>IF(OR('ФАСАД Рязань'!$T$6="Завод 'ТЕХНО' г.Рязань",'ФАСАД Рязань'!$T$6="Завод 'ТЕХНО' г.Заинск"),'ФАСАД Рязань'!E58,'ФАСАД Юрга'!E58)</f>
        <v>C</v>
      </c>
      <c r="I57" s="1181">
        <f>IF(OR('ФАСАД Рязань'!$T$6="Завод 'ТЕХНО' г.Рязань",'ФАСАД Рязань'!$T$6="Завод 'ТЕХНО' г.Заинск"),'ФАСАД Рязань'!I57,'ФАСАД Юрга'!I57)</f>
        <v>69.11999999999999</v>
      </c>
      <c r="J57" s="177">
        <v>228.09600000000003</v>
      </c>
      <c r="K57" s="97">
        <v>4</v>
      </c>
      <c r="L57" s="166">
        <f t="shared" ref="L57" si="9">B57*C57*K57/1000000</f>
        <v>2.88</v>
      </c>
      <c r="M57" s="169">
        <f t="shared" ref="M57" si="10">D57*L57/1000</f>
        <v>0.17279999999999998</v>
      </c>
      <c r="N57" s="97">
        <v>40</v>
      </c>
      <c r="O57" s="126">
        <f t="shared" ref="O57" si="11">N57*M57</f>
        <v>6.911999999999999</v>
      </c>
      <c r="P57" s="231">
        <f t="shared" ref="P57" si="12">O57*11</f>
        <v>76.031999999999982</v>
      </c>
      <c r="Q57" s="266"/>
      <c r="R57" s="88">
        <f t="shared" ref="R57" si="13">IFERROR(M57*S57,"---")</f>
        <v>1111.7951999999998</v>
      </c>
      <c r="S57" s="786">
        <f>IFERROR(IF(OR('ФАСАД Рязань'!$T$6="Завод 'ТЕХНО' г.Рязань",'ФАСАД Рязань'!$T$6="Завод 'ТЕХНО' г.Заинск"),IF('ФАСАД Рязань'!$T$6="Завод 'ТЕХНО' г.Рязань",'ФАСАД Рязань'!R57*(1-'ФАСАД Рязань'!$V$5-'ФАСАД Рязань'!V57)+IFERROR(SEARCH("комп",J57)/SEARCH("комп",J57)*'ФАСАД Рязань'!$R$5,'ФАСАД Рязань'!S$5),'ФАСАД Заинск'!R57*(1-'ФАСАД Рязань'!$V$5-'ФАСАД Рязань'!V57)+IFERROR(SEARCH("комп",J57)/SEARCH("комп",J57)*'ФАСАД Рязань'!$R$5,'ФАСАД Рязань'!S$5)),'ФАСАД Юрга'!R57*(1-'ФАСАД Рязань'!$V$5-'ФАСАД Рязань'!V57)+IFERROR(SEARCH("комп",J57)/SEARCH("комп",J57)*'ФАСАД Рязань'!$R$5,'ФАСАД Рязань'!S$5)),"нет")</f>
        <v>6434</v>
      </c>
      <c r="T57" s="101">
        <f t="shared" ref="T57" si="14">IFERROR(S57*D57/1000,"---")</f>
        <v>386.04</v>
      </c>
      <c r="U57" s="1221"/>
      <c r="V57" s="1229"/>
      <c r="W57" s="1221"/>
      <c r="X57" s="1154"/>
      <c r="Y57" s="1155"/>
      <c r="Z57" s="1156"/>
      <c r="AA57" s="1157"/>
      <c r="AB57" s="991"/>
      <c r="AC57" s="991"/>
      <c r="AD57" s="1022"/>
      <c r="AE57" s="1104"/>
      <c r="AF57" s="82"/>
      <c r="AG57" s="2"/>
    </row>
    <row r="58" spans="1:33" ht="20.100000000000001" customHeight="1" thickBot="1" x14ac:dyDescent="0.3">
      <c r="A58" s="708"/>
      <c r="B58" s="203">
        <v>1200</v>
      </c>
      <c r="C58" s="204">
        <v>600</v>
      </c>
      <c r="D58" s="209">
        <v>70</v>
      </c>
      <c r="E58" s="263">
        <v>71.428571428571431</v>
      </c>
      <c r="F58" s="263">
        <v>10.736617879475023</v>
      </c>
      <c r="G58" s="264" t="s">
        <v>155</v>
      </c>
      <c r="H58" s="604" t="str">
        <f>IF(OR('ФАСАД Рязань'!$T$6="Завод 'ТЕХНО' г.Рязань",'ФАСАД Рязань'!$T$6="Завод 'ТЕХНО' г.Заинск"),'ФАСАД Рязань'!E58,'ФАСАД Юрга'!E58)</f>
        <v>C</v>
      </c>
      <c r="I58" s="1181">
        <f>IF(OR('ФАСАД Рязань'!$T$6="Завод 'ТЕХНО' г.Рязань",'ФАСАД Рязань'!$T$6="Завод 'ТЕХНО' г.Заинск"),'ФАСАД Рязань'!I58,'ФАСАД Юрга'!I58)</f>
        <v>73.180800000000005</v>
      </c>
      <c r="J58" s="177">
        <v>219.54240000000001</v>
      </c>
      <c r="K58" s="97">
        <v>3</v>
      </c>
      <c r="L58" s="166">
        <f t="shared" si="7"/>
        <v>2.16</v>
      </c>
      <c r="M58" s="169">
        <f t="shared" si="8"/>
        <v>0.15120000000000003</v>
      </c>
      <c r="N58" s="97">
        <v>44</v>
      </c>
      <c r="O58" s="126">
        <f t="shared" si="5"/>
        <v>6.6528000000000009</v>
      </c>
      <c r="P58" s="231">
        <f t="shared" si="6"/>
        <v>73.180800000000005</v>
      </c>
      <c r="Q58" s="266"/>
      <c r="R58" s="88">
        <f t="shared" si="1"/>
        <v>972.82080000000019</v>
      </c>
      <c r="S58" s="786">
        <f>IFERROR(IF(OR('ФАСАД Рязань'!$T$6="Завод 'ТЕХНО' г.Рязань",'ФАСАД Рязань'!$T$6="Завод 'ТЕХНО' г.Заинск"),IF('ФАСАД Рязань'!$T$6="Завод 'ТЕХНО' г.Рязань",'ФАСАД Рязань'!R58*(1-'ФАСАД Рязань'!$V$5-'ФАСАД Рязань'!V58)+IFERROR(SEARCH("комп",J58)/SEARCH("комп",J58)*'ФАСАД Рязань'!$R$5,'ФАСАД Рязань'!S$5),'ФАСАД Заинск'!R58*(1-'ФАСАД Рязань'!$V$5-'ФАСАД Рязань'!V58)+IFERROR(SEARCH("комп",J58)/SEARCH("комп",J58)*'ФАСАД Рязань'!$R$5,'ФАСАД Рязань'!S$5)),'ФАСАД Юрга'!R58*(1-'ФАСАД Рязань'!$V$5-'ФАСАД Рязань'!V58)+IFERROR(SEARCH("комп",J58)/SEARCH("комп",J58)*'ФАСАД Рязань'!$R$5,'ФАСАД Рязань'!S$5)),"нет")</f>
        <v>6434</v>
      </c>
      <c r="T58" s="101">
        <f t="shared" si="2"/>
        <v>450.38</v>
      </c>
      <c r="U58" s="1221"/>
      <c r="V58" s="1229"/>
      <c r="W58" s="1221"/>
      <c r="X58" s="1154"/>
      <c r="Y58" s="1155"/>
      <c r="Z58" s="1156"/>
      <c r="AA58" s="1157"/>
      <c r="AB58" s="991"/>
      <c r="AC58" s="991"/>
      <c r="AD58" s="1022"/>
      <c r="AE58" s="1104"/>
      <c r="AF58" s="82"/>
      <c r="AG58" s="2"/>
    </row>
    <row r="59" spans="1:33" ht="20.100000000000001" customHeight="1" thickBot="1" x14ac:dyDescent="0.3">
      <c r="A59" s="708"/>
      <c r="B59" s="203">
        <v>1200</v>
      </c>
      <c r="C59" s="204">
        <v>600</v>
      </c>
      <c r="D59" s="209">
        <v>80</v>
      </c>
      <c r="E59" s="263"/>
      <c r="F59" s="263">
        <v>0</v>
      </c>
      <c r="G59" s="264" t="s">
        <v>156</v>
      </c>
      <c r="H59" s="604" t="str">
        <f>IF(OR('ФАСАД Рязань'!$T$6="Завод 'ТЕХНО' г.Рязань",'ФАСАД Рязань'!$T$6="Завод 'ТЕХНО' г.Заинск"),'ФАСАД Рязань'!E59,'ФАСАД Юрга'!E59)</f>
        <v>Б</v>
      </c>
      <c r="I59" s="1181" t="str">
        <f>IF(OR('ФАСАД Рязань'!$T$6="Завод 'ТЕХНО' г.Рязань",'ФАСАД Рязань'!$T$6="Завод 'ТЕХНО' г.Заинск"),'ФАСАД Рязань'!I59,'ФАСАД Юрга'!I59)</f>
        <v xml:space="preserve"> </v>
      </c>
      <c r="J59" s="177"/>
      <c r="K59" s="274">
        <v>3</v>
      </c>
      <c r="L59" s="166">
        <f t="shared" si="7"/>
        <v>2.16</v>
      </c>
      <c r="M59" s="169">
        <f t="shared" si="8"/>
        <v>0.17280000000000001</v>
      </c>
      <c r="N59" s="97">
        <v>40</v>
      </c>
      <c r="O59" s="126">
        <f t="shared" si="5"/>
        <v>6.9120000000000008</v>
      </c>
      <c r="P59" s="231">
        <f t="shared" si="6"/>
        <v>76.032000000000011</v>
      </c>
      <c r="Q59" s="266"/>
      <c r="R59" s="88">
        <f t="shared" si="1"/>
        <v>1111.7952</v>
      </c>
      <c r="S59" s="786">
        <f>IFERROR(IF(OR('ФАСАД Рязань'!$T$6="Завод 'ТЕХНО' г.Рязань",'ФАСАД Рязань'!$T$6="Завод 'ТЕХНО' г.Заинск"),IF('ФАСАД Рязань'!$T$6="Завод 'ТЕХНО' г.Рязань",'ФАСАД Рязань'!R59*(1-'ФАСАД Рязань'!$V$5-'ФАСАД Рязань'!V59)+IFERROR(SEARCH("комп",J59)/SEARCH("комп",J59)*'ФАСАД Рязань'!$R$5,'ФАСАД Рязань'!S$5),'ФАСАД Заинск'!R59*(1-'ФАСАД Рязань'!$V$5-'ФАСАД Рязань'!V59)+IFERROR(SEARCH("комп",J59)/SEARCH("комп",J59)*'ФАСАД Рязань'!$R$5,'ФАСАД Рязань'!S$5)),'ФАСАД Юрга'!R59*(1-'ФАСАД Рязань'!$V$5-'ФАСАД Рязань'!V59)+IFERROR(SEARCH("комп",J59)/SEARCH("комп",J59)*'ФАСАД Рязань'!$R$5,'ФАСАД Рязань'!S$5)),"нет")</f>
        <v>6434</v>
      </c>
      <c r="T59" s="101">
        <f t="shared" si="2"/>
        <v>514.72</v>
      </c>
      <c r="U59" s="1221"/>
      <c r="V59" s="1229"/>
      <c r="W59" s="1221"/>
      <c r="X59" s="1154"/>
      <c r="Y59" s="1155"/>
      <c r="Z59" s="1156"/>
      <c r="AA59" s="1157"/>
      <c r="AB59" s="991"/>
      <c r="AC59" s="991"/>
      <c r="AD59" s="1022"/>
      <c r="AE59" s="1104"/>
      <c r="AF59" s="82"/>
      <c r="AG59" s="2"/>
    </row>
    <row r="60" spans="1:33" ht="20.100000000000001" customHeight="1" thickBot="1" x14ac:dyDescent="0.3">
      <c r="A60" s="708"/>
      <c r="B60" s="203">
        <v>1200</v>
      </c>
      <c r="C60" s="204">
        <v>600</v>
      </c>
      <c r="D60" s="209">
        <v>90</v>
      </c>
      <c r="E60" s="263">
        <v>71.428571428571431</v>
      </c>
      <c r="F60" s="263">
        <v>11.482216343327455</v>
      </c>
      <c r="G60" s="264" t="s">
        <v>701</v>
      </c>
      <c r="H60" s="604" t="str">
        <f>IF(OR('ФАСАД Рязань'!$T$6="Завод 'ТЕХНО' г.Рязань",'ФАСАД Рязань'!$T$6="Завод 'ТЕХНО' г.Заинск"),'ФАСАД Рязань'!E60,'ФАСАД Юрга'!E60)</f>
        <v>C</v>
      </c>
      <c r="I60" s="1181">
        <f>IF(OR('ФАСАД Рязань'!$T$6="Завод 'ТЕХНО' г.Рязань",'ФАСАД Рязань'!$T$6="Завод 'ТЕХНО' г.Заинск"),'ФАСАД Рязань'!I60,'ФАСАД Юрга'!I60)</f>
        <v>74.131199999999993</v>
      </c>
      <c r="J60" s="177">
        <v>205.28639999999999</v>
      </c>
      <c r="K60" s="274">
        <v>2</v>
      </c>
      <c r="L60" s="166">
        <f t="shared" si="7"/>
        <v>1.44</v>
      </c>
      <c r="M60" s="169">
        <f t="shared" si="8"/>
        <v>0.12959999999999999</v>
      </c>
      <c r="N60" s="97">
        <v>52</v>
      </c>
      <c r="O60" s="126">
        <f t="shared" si="5"/>
        <v>6.7391999999999994</v>
      </c>
      <c r="P60" s="231">
        <f t="shared" si="6"/>
        <v>74.131199999999993</v>
      </c>
      <c r="Q60" s="266"/>
      <c r="R60" s="88">
        <f t="shared" si="1"/>
        <v>833.8463999999999</v>
      </c>
      <c r="S60" s="786">
        <f>IFERROR(IF(OR('ФАСАД Рязань'!$T$6="Завод 'ТЕХНО' г.Рязань",'ФАСАД Рязань'!$T$6="Завод 'ТЕХНО' г.Заинск"),IF('ФАСАД Рязань'!$T$6="Завод 'ТЕХНО' г.Рязань",'ФАСАД Рязань'!R60*(1-'ФАСАД Рязань'!$V$5-'ФАСАД Рязань'!V60)+IFERROR(SEARCH("комп",J60)/SEARCH("комп",J60)*'ФАСАД Рязань'!$R$5,'ФАСАД Рязань'!S$5),'ФАСАД Заинск'!R60*(1-'ФАСАД Рязань'!$V$5-'ФАСАД Рязань'!V60)+IFERROR(SEARCH("комп",J60)/SEARCH("комп",J60)*'ФАСАД Рязань'!$R$5,'ФАСАД Рязань'!S$5)),'ФАСАД Юрга'!R60*(1-'ФАСАД Рязань'!$V$5-'ФАСАД Рязань'!V60)+IFERROR(SEARCH("комп",J60)/SEARCH("комп",J60)*'ФАСАД Рязань'!$R$5,'ФАСАД Рязань'!S$5)),"нет")</f>
        <v>6434</v>
      </c>
      <c r="T60" s="101">
        <f t="shared" si="2"/>
        <v>579.05999999999995</v>
      </c>
      <c r="U60" s="1221"/>
      <c r="V60" s="1229"/>
      <c r="W60" s="1221"/>
      <c r="X60" s="1154"/>
      <c r="Y60" s="1155"/>
      <c r="Z60" s="1156"/>
      <c r="AA60" s="1157"/>
      <c r="AB60" s="991"/>
      <c r="AC60" s="991"/>
      <c r="AD60" s="1022"/>
      <c r="AE60" s="746"/>
      <c r="AF60" s="82"/>
      <c r="AG60" s="2"/>
    </row>
    <row r="61" spans="1:33" ht="19.5" customHeight="1" thickBot="1" x14ac:dyDescent="0.3">
      <c r="A61" s="708"/>
      <c r="B61" s="203">
        <v>1200</v>
      </c>
      <c r="C61" s="204">
        <v>600</v>
      </c>
      <c r="D61" s="209">
        <v>100</v>
      </c>
      <c r="E61" s="263"/>
      <c r="F61" s="263">
        <v>0</v>
      </c>
      <c r="G61" s="264" t="s">
        <v>157</v>
      </c>
      <c r="H61" s="604" t="str">
        <f>IF(OR('ФАСАД Рязань'!$T$6="Завод 'ТЕХНО' г.Рязань",'ФАСАД Рязань'!$T$6="Завод 'ТЕХНО' г.Заинск"),'ФАСАД Рязань'!E61,'ФАСАД Юрга'!E61)</f>
        <v>Б</v>
      </c>
      <c r="I61" s="1181" t="str">
        <f>IF(OR('ФАСАД Рязань'!$T$6="Завод 'ТЕХНО' г.Рязань",'ФАСАД Рязань'!$T$6="Завод 'ТЕХНО' г.Заинск"),'ФАСАД Рязань'!I61,'ФАСАД Юрга'!I61)</f>
        <v xml:space="preserve"> </v>
      </c>
      <c r="J61" s="177"/>
      <c r="K61" s="97">
        <v>3</v>
      </c>
      <c r="L61" s="166">
        <f t="shared" si="7"/>
        <v>2.16</v>
      </c>
      <c r="M61" s="169">
        <f t="shared" si="8"/>
        <v>0.216</v>
      </c>
      <c r="N61" s="97">
        <v>32</v>
      </c>
      <c r="O61" s="126">
        <f t="shared" si="5"/>
        <v>6.9119999999999999</v>
      </c>
      <c r="P61" s="231">
        <f t="shared" si="6"/>
        <v>76.031999999999996</v>
      </c>
      <c r="Q61" s="266"/>
      <c r="R61" s="88">
        <f t="shared" si="1"/>
        <v>1389.7439999999999</v>
      </c>
      <c r="S61" s="786">
        <f>IFERROR(IF(OR('ФАСАД Рязань'!$T$6="Завод 'ТЕХНО' г.Рязань",'ФАСАД Рязань'!$T$6="Завод 'ТЕХНО' г.Заинск"),IF('ФАСАД Рязань'!$T$6="Завод 'ТЕХНО' г.Рязань",'ФАСАД Рязань'!R61*(1-'ФАСАД Рязань'!$V$5-'ФАСАД Рязань'!V61)+IFERROR(SEARCH("комп",J61)/SEARCH("комп",J61)*'ФАСАД Рязань'!$R$5,'ФАСАД Рязань'!S$5),'ФАСАД Заинск'!R61*(1-'ФАСАД Рязань'!$V$5-'ФАСАД Рязань'!V61)+IFERROR(SEARCH("комп",J61)/SEARCH("комп",J61)*'ФАСАД Рязань'!$R$5,'ФАСАД Рязань'!S$5)),'ФАСАД Юрга'!R61*(1-'ФАСАД Рязань'!$V$5-'ФАСАД Рязань'!V61)+IFERROR(SEARCH("комп",J61)/SEARCH("комп",J61)*'ФАСАД Рязань'!$R$5,'ФАСАД Рязань'!S$5)),"нет")</f>
        <v>6434</v>
      </c>
      <c r="T61" s="101">
        <f t="shared" si="2"/>
        <v>643.4</v>
      </c>
      <c r="U61" s="1221"/>
      <c r="V61" s="1229"/>
      <c r="W61" s="1221"/>
      <c r="X61" s="1154"/>
      <c r="Y61" s="1155"/>
      <c r="Z61" s="1156"/>
      <c r="AA61" s="1157"/>
      <c r="AB61" s="991"/>
      <c r="AC61" s="991"/>
      <c r="AD61" s="1022"/>
      <c r="AE61" s="1104"/>
      <c r="AF61" s="82"/>
      <c r="AG61" s="2"/>
    </row>
    <row r="62" spans="1:33" ht="19.5" customHeight="1" thickBot="1" x14ac:dyDescent="0.3">
      <c r="A62" s="708"/>
      <c r="B62" s="203">
        <v>1200</v>
      </c>
      <c r="C62" s="204">
        <v>600</v>
      </c>
      <c r="D62" s="209">
        <v>110</v>
      </c>
      <c r="E62" s="263">
        <v>74.074074074074076</v>
      </c>
      <c r="F62" s="263">
        <v>11.690983913206136</v>
      </c>
      <c r="G62" s="264" t="s">
        <v>243</v>
      </c>
      <c r="H62" s="604" t="str">
        <f>IF(OR('ФАСАД Рязань'!$T$6="Завод 'ТЕХНО' г.Рязань",'ФАСАД Рязань'!$T$6="Завод 'ТЕХНО' г.Заинск"),'ФАСАД Рязань'!E62,'ФАСАД Юрга'!E62)</f>
        <v>C</v>
      </c>
      <c r="I62" s="1181">
        <f>IF(OR('ФАСАД Рязань'!$T$6="Завод 'ТЕХНО' г.Рязань",'ФАСАД Рязань'!$T$6="Завод 'ТЕХНО' г.Заинск"),'ФАСАД Рязань'!I62,'ФАСАД Юрга'!I62)</f>
        <v>69.695999999999998</v>
      </c>
      <c r="J62" s="177">
        <v>228.09600000000003</v>
      </c>
      <c r="K62" s="97">
        <v>2</v>
      </c>
      <c r="L62" s="166">
        <f t="shared" si="7"/>
        <v>1.44</v>
      </c>
      <c r="M62" s="169">
        <f t="shared" si="8"/>
        <v>0.15840000000000001</v>
      </c>
      <c r="N62" s="97">
        <v>40</v>
      </c>
      <c r="O62" s="126">
        <f t="shared" si="5"/>
        <v>6.3360000000000003</v>
      </c>
      <c r="P62" s="231">
        <f t="shared" si="6"/>
        <v>69.695999999999998</v>
      </c>
      <c r="Q62" s="266"/>
      <c r="R62" s="88">
        <f t="shared" si="1"/>
        <v>1019.1456000000001</v>
      </c>
      <c r="S62" s="786">
        <f>IFERROR(IF(OR('ФАСАД Рязань'!$T$6="Завод 'ТЕХНО' г.Рязань",'ФАСАД Рязань'!$T$6="Завод 'ТЕХНО' г.Заинск"),IF('ФАСАД Рязань'!$T$6="Завод 'ТЕХНО' г.Рязань",'ФАСАД Рязань'!R62*(1-'ФАСАД Рязань'!$V$5-'ФАСАД Рязань'!V62)+IFERROR(SEARCH("комп",J62)/SEARCH("комп",J62)*'ФАСАД Рязань'!$R$5,'ФАСАД Рязань'!S$5),'ФАСАД Заинск'!R62*(1-'ФАСАД Рязань'!$V$5-'ФАСАД Рязань'!V62)+IFERROR(SEARCH("комп",J62)/SEARCH("комп",J62)*'ФАСАД Рязань'!$R$5,'ФАСАД Рязань'!S$5)),'ФАСАД Юрга'!R62*(1-'ФАСАД Рязань'!$V$5-'ФАСАД Рязань'!V62)+IFERROR(SEARCH("комп",J62)/SEARCH("комп",J62)*'ФАСАД Рязань'!$R$5,'ФАСАД Рязань'!S$5)),"нет")</f>
        <v>6434</v>
      </c>
      <c r="T62" s="101">
        <f t="shared" si="2"/>
        <v>707.74</v>
      </c>
      <c r="U62" s="1221"/>
      <c r="V62" s="1229"/>
      <c r="W62" s="1221"/>
      <c r="X62" s="1154"/>
      <c r="Y62" s="1155"/>
      <c r="Z62" s="1156"/>
      <c r="AA62" s="1157"/>
      <c r="AB62" s="991"/>
      <c r="AC62" s="991"/>
      <c r="AD62" s="1022"/>
      <c r="AE62" s="746"/>
      <c r="AF62" s="82"/>
      <c r="AG62" s="2"/>
    </row>
    <row r="63" spans="1:33" ht="20.100000000000001" customHeight="1" thickBot="1" x14ac:dyDescent="0.3">
      <c r="A63" s="708"/>
      <c r="B63" s="203">
        <v>1200</v>
      </c>
      <c r="C63" s="204">
        <v>600</v>
      </c>
      <c r="D63" s="209">
        <v>120</v>
      </c>
      <c r="E63" s="263"/>
      <c r="F63" s="263">
        <v>0</v>
      </c>
      <c r="G63" s="264" t="s">
        <v>158</v>
      </c>
      <c r="H63" s="604" t="str">
        <f>IF(OR('ФАСАД Рязань'!$T$6="Завод 'ТЕХНО' г.Рязань",'ФАСАД Рязань'!$T$6="Завод 'ТЕХНО' г.Заинск"),'ФАСАД Рязань'!E63,'ФАСАД Юрга'!E63)</f>
        <v>Б</v>
      </c>
      <c r="I63" s="1181" t="str">
        <f>IF(OR('ФАСАД Рязань'!$T$6="Завод 'ТЕХНО' г.Рязань",'ФАСАД Рязань'!$T$6="Завод 'ТЕХНО' г.Заинск"),'ФАСАД Рязань'!I63,'ФАСАД Юрга'!I63)</f>
        <v xml:space="preserve"> </v>
      </c>
      <c r="J63" s="177">
        <v>248.83200000000005</v>
      </c>
      <c r="K63" s="97">
        <v>2</v>
      </c>
      <c r="L63" s="166">
        <f t="shared" si="7"/>
        <v>1.44</v>
      </c>
      <c r="M63" s="169">
        <f t="shared" si="8"/>
        <v>0.17279999999999998</v>
      </c>
      <c r="N63" s="97">
        <v>40</v>
      </c>
      <c r="O63" s="126">
        <f t="shared" si="5"/>
        <v>6.911999999999999</v>
      </c>
      <c r="P63" s="231">
        <f t="shared" si="6"/>
        <v>76.031999999999982</v>
      </c>
      <c r="Q63" s="266"/>
      <c r="R63" s="88">
        <f t="shared" si="1"/>
        <v>1111.7951999999998</v>
      </c>
      <c r="S63" s="786">
        <f>IFERROR(IF(OR('ФАСАД Рязань'!$T$6="Завод 'ТЕХНО' г.Рязань",'ФАСАД Рязань'!$T$6="Завод 'ТЕХНО' г.Заинск"),IF('ФАСАД Рязань'!$T$6="Завод 'ТЕХНО' г.Рязань",'ФАСАД Рязань'!R63*(1-'ФАСАД Рязань'!$V$5-'ФАСАД Рязань'!V63)+IFERROR(SEARCH("комп",J63)/SEARCH("комп",J63)*'ФАСАД Рязань'!$R$5,'ФАСАД Рязань'!S$5),'ФАСАД Заинск'!R63*(1-'ФАСАД Рязань'!$V$5-'ФАСАД Рязань'!V63)+IFERROR(SEARCH("комп",J63)/SEARCH("комп",J63)*'ФАСАД Рязань'!$R$5,'ФАСАД Рязань'!S$5)),'ФАСАД Юрга'!R63*(1-'ФАСАД Рязань'!$V$5-'ФАСАД Рязань'!V63)+IFERROR(SEARCH("комп",J63)/SEARCH("комп",J63)*'ФАСАД Рязань'!$R$5,'ФАСАД Рязань'!S$5)),"нет")</f>
        <v>6434</v>
      </c>
      <c r="T63" s="101">
        <f t="shared" si="2"/>
        <v>772.08</v>
      </c>
      <c r="U63" s="1221"/>
      <c r="V63" s="1229"/>
      <c r="W63" s="1221"/>
      <c r="X63" s="1154"/>
      <c r="Y63" s="1155"/>
      <c r="Z63" s="1156"/>
      <c r="AA63" s="1157"/>
      <c r="AB63" s="991"/>
      <c r="AC63" s="991"/>
      <c r="AD63" s="1022"/>
      <c r="AE63" s="1104"/>
      <c r="AF63" s="82"/>
      <c r="AG63" s="2"/>
    </row>
    <row r="64" spans="1:33" ht="20.100000000000001" customHeight="1" thickBot="1" x14ac:dyDescent="0.3">
      <c r="A64" s="708"/>
      <c r="B64" s="203">
        <v>1200</v>
      </c>
      <c r="C64" s="204">
        <v>600</v>
      </c>
      <c r="D64" s="209">
        <v>130</v>
      </c>
      <c r="E64" s="263">
        <v>74.074074074074076</v>
      </c>
      <c r="F64" s="263">
        <v>10.991523337202349</v>
      </c>
      <c r="G64" s="264" t="s">
        <v>159</v>
      </c>
      <c r="H64" s="604" t="str">
        <f>IF(OR('ФАСАД Рязань'!$T$6="Завод 'ТЕХНО' г.Рязань",'ФАСАД Рязань'!$T$6="Завод 'ТЕХНО' г.Заинск"),'ФАСАД Рязань'!E64,'ФАСАД Юрга'!E64)</f>
        <v>C</v>
      </c>
      <c r="I64" s="1181">
        <f>IF(OR('ФАСАД Рязань'!$T$6="Завод 'ТЕХНО' г.Рязань",'ФАСАД Рязань'!$T$6="Завод 'ТЕХНО' г.Заинск"),'ФАСАД Рязань'!I64,'ФАСАД Юрга'!I64)</f>
        <v>74.131199999999993</v>
      </c>
      <c r="J64" s="177">
        <v>222.39360000000002</v>
      </c>
      <c r="K64" s="97">
        <v>2</v>
      </c>
      <c r="L64" s="166">
        <f t="shared" si="7"/>
        <v>1.44</v>
      </c>
      <c r="M64" s="169">
        <f t="shared" si="8"/>
        <v>0.18719999999999998</v>
      </c>
      <c r="N64" s="97">
        <v>36</v>
      </c>
      <c r="O64" s="126">
        <f t="shared" si="5"/>
        <v>6.7391999999999994</v>
      </c>
      <c r="P64" s="231">
        <f t="shared" si="6"/>
        <v>74.131199999999993</v>
      </c>
      <c r="Q64" s="266"/>
      <c r="R64" s="88">
        <f t="shared" si="1"/>
        <v>1204.4447999999998</v>
      </c>
      <c r="S64" s="786">
        <f>IFERROR(IF(OR('ФАСАД Рязань'!$T$6="Завод 'ТЕХНО' г.Рязань",'ФАСАД Рязань'!$T$6="Завод 'ТЕХНО' г.Заинск"),IF('ФАСАД Рязань'!$T$6="Завод 'ТЕХНО' г.Рязань",'ФАСАД Рязань'!R64*(1-'ФАСАД Рязань'!$V$5-'ФАСАД Рязань'!V64)+IFERROR(SEARCH("комп",J64)/SEARCH("комп",J64)*'ФАСАД Рязань'!$R$5,'ФАСАД Рязань'!S$5),'ФАСАД Заинск'!R64*(1-'ФАСАД Рязань'!$V$5-'ФАСАД Рязань'!V64)+IFERROR(SEARCH("комп",J64)/SEARCH("комп",J64)*'ФАСАД Рязань'!$R$5,'ФАСАД Рязань'!S$5)),'ФАСАД Юрга'!R64*(1-'ФАСАД Рязань'!$V$5-'ФАСАД Рязань'!V64)+IFERROR(SEARCH("комп",J64)/SEARCH("комп",J64)*'ФАСАД Рязань'!$R$5,'ФАСАД Рязань'!S$5)),"нет")</f>
        <v>6434</v>
      </c>
      <c r="T64" s="101">
        <f t="shared" si="2"/>
        <v>836.42</v>
      </c>
      <c r="U64" s="1221"/>
      <c r="V64" s="1229"/>
      <c r="W64" s="1221"/>
      <c r="X64" s="1154"/>
      <c r="Y64" s="1155"/>
      <c r="Z64" s="1156"/>
      <c r="AA64" s="1157"/>
      <c r="AB64" s="991"/>
      <c r="AC64" s="991"/>
      <c r="AD64" s="1022"/>
      <c r="AE64" s="1104"/>
      <c r="AF64" s="82"/>
      <c r="AG64" s="2"/>
    </row>
    <row r="65" spans="1:33" ht="20.100000000000001" customHeight="1" thickBot="1" x14ac:dyDescent="0.3">
      <c r="A65" s="708"/>
      <c r="B65" s="12">
        <v>1200</v>
      </c>
      <c r="C65" s="13">
        <v>600</v>
      </c>
      <c r="D65" s="14">
        <v>140</v>
      </c>
      <c r="E65" s="107">
        <v>74.074074074074076</v>
      </c>
      <c r="F65" s="116">
        <v>11.482216343327455</v>
      </c>
      <c r="G65" s="219" t="s">
        <v>160</v>
      </c>
      <c r="H65" s="604" t="str">
        <f>IF(OR('ФАСАД Рязань'!$T$6="Завод 'ТЕХНО' г.Рязань",'ФАСАД Рязань'!$T$6="Завод 'ТЕХНО' г.Заинск"),'ФАСАД Рязань'!E65,'ФАСАД Юрга'!E65)</f>
        <v>C</v>
      </c>
      <c r="I65" s="1181">
        <f>IF(OR('ФАСАД Рязань'!$T$6="Завод 'ТЕХНО' г.Рязань",'ФАСАД Рязань'!$T$6="Завод 'ТЕХНО' г.Заинск"),'ФАСАД Рязань'!I65,'ФАСАД Юрга'!I65)</f>
        <v>70.963200000000001</v>
      </c>
      <c r="J65" s="177">
        <v>212.8896</v>
      </c>
      <c r="K65" s="47">
        <v>2</v>
      </c>
      <c r="L65" s="166">
        <f t="shared" si="7"/>
        <v>1.44</v>
      </c>
      <c r="M65" s="169">
        <f t="shared" si="8"/>
        <v>0.2016</v>
      </c>
      <c r="N65" s="47">
        <v>32</v>
      </c>
      <c r="O65" s="126">
        <f t="shared" si="5"/>
        <v>6.4512</v>
      </c>
      <c r="P65" s="231">
        <f t="shared" si="6"/>
        <v>70.963200000000001</v>
      </c>
      <c r="Q65" s="48"/>
      <c r="R65" s="88">
        <f t="shared" si="1"/>
        <v>1297.0944</v>
      </c>
      <c r="S65" s="786">
        <f>IFERROR(IF(OR('ФАСАД Рязань'!$T$6="Завод 'ТЕХНО' г.Рязань",'ФАСАД Рязань'!$T$6="Завод 'ТЕХНО' г.Заинск"),IF('ФАСАД Рязань'!$T$6="Завод 'ТЕХНО' г.Рязань",'ФАСАД Рязань'!R65*(1-'ФАСАД Рязань'!$V$5-'ФАСАД Рязань'!V65)+IFERROR(SEARCH("комп",J65)/SEARCH("комп",J65)*'ФАСАД Рязань'!$R$5,'ФАСАД Рязань'!S$5),'ФАСАД Заинск'!R65*(1-'ФАСАД Рязань'!$V$5-'ФАСАД Рязань'!V65)+IFERROR(SEARCH("комп",J65)/SEARCH("комп",J65)*'ФАСАД Рязань'!$R$5,'ФАСАД Рязань'!S$5)),'ФАСАД Юрга'!R65*(1-'ФАСАД Рязань'!$V$5-'ФАСАД Рязань'!V65)+IFERROR(SEARCH("комп",J65)/SEARCH("комп",J65)*'ФАСАД Рязань'!$R$5,'ФАСАД Рязань'!S$5)),"нет")</f>
        <v>6434</v>
      </c>
      <c r="T65" s="101">
        <f t="shared" si="2"/>
        <v>900.76</v>
      </c>
      <c r="U65" s="1221"/>
      <c r="V65" s="1229"/>
      <c r="W65" s="1221"/>
      <c r="X65" s="1154"/>
      <c r="Y65" s="1155"/>
      <c r="Z65" s="1156"/>
      <c r="AA65" s="1157"/>
      <c r="AB65" s="991"/>
      <c r="AC65" s="991"/>
      <c r="AD65" s="1022"/>
      <c r="AE65" s="746"/>
      <c r="AF65" s="82"/>
      <c r="AG65" s="2"/>
    </row>
    <row r="66" spans="1:33" ht="20.100000000000001" customHeight="1" thickBot="1" x14ac:dyDescent="0.3">
      <c r="A66" s="890"/>
      <c r="B66" s="15">
        <v>1200</v>
      </c>
      <c r="C66" s="16">
        <v>600</v>
      </c>
      <c r="D66" s="17">
        <v>150</v>
      </c>
      <c r="E66" s="108">
        <v>74.074074074074076</v>
      </c>
      <c r="F66" s="444">
        <v>10.716735253772292</v>
      </c>
      <c r="G66" s="442" t="s">
        <v>161</v>
      </c>
      <c r="H66" s="605" t="str">
        <f>IF(OR('ФАСАД Рязань'!$T$6="Завод 'ТЕХНО' г.Рязань",'ФАСАД Рязань'!$T$6="Завод 'ТЕХНО' г.Заинск"),'ФАСАД Рязань'!E66,'ФАСАД Юрга'!E66)</f>
        <v>C</v>
      </c>
      <c r="I66" s="1182">
        <f>IF(OR('ФАСАД Рязань'!$T$6="Завод 'ТЕХНО' г.Рязань",'ФАСАД Рязань'!$T$6="Завод 'ТЕХНО' г.Заинск"),'ФАСАД Рязань'!I66,'ФАСАД Юрга'!I66)</f>
        <v>69.12</v>
      </c>
      <c r="J66" s="455">
        <v>228.096</v>
      </c>
      <c r="K66" s="49">
        <v>2</v>
      </c>
      <c r="L66" s="167">
        <f t="shared" si="7"/>
        <v>1.44</v>
      </c>
      <c r="M66" s="307">
        <f t="shared" si="8"/>
        <v>0.216</v>
      </c>
      <c r="N66" s="49">
        <v>32</v>
      </c>
      <c r="O66" s="129">
        <f t="shared" si="5"/>
        <v>6.9119999999999999</v>
      </c>
      <c r="P66" s="260">
        <f t="shared" si="6"/>
        <v>76.031999999999996</v>
      </c>
      <c r="Q66" s="50"/>
      <c r="R66" s="614">
        <f t="shared" si="1"/>
        <v>1389.7439999999999</v>
      </c>
      <c r="S66" s="787">
        <f>IFERROR(IF(OR('ФАСАД Рязань'!$T$6="Завод 'ТЕХНО' г.Рязань",'ФАСАД Рязань'!$T$6="Завод 'ТЕХНО' г.Заинск"),IF('ФАСАД Рязань'!$T$6="Завод 'ТЕХНО' г.Рязань",'ФАСАД Рязань'!R66*(1-'ФАСАД Рязань'!$V$5-'ФАСАД Рязань'!V66)+IFERROR(SEARCH("комп",J66)/SEARCH("комп",J66)*'ФАСАД Рязань'!$R$5,'ФАСАД Рязань'!S$5),'ФАСАД Заинск'!R66*(1-'ФАСАД Рязань'!$V$5-'ФАСАД Рязань'!V66)+IFERROR(SEARCH("комп",J66)/SEARCH("комп",J66)*'ФАСАД Рязань'!$R$5,'ФАСАД Рязань'!S$5)),'ФАСАД Юрга'!R66*(1-'ФАСАД Рязань'!$V$5-'ФАСАД Рязань'!V66)+IFERROR(SEARCH("комп",J66)/SEARCH("комп",J66)*'ФАСАД Рязань'!$R$5,'ФАСАД Рязань'!S$5)),"нет")</f>
        <v>6434</v>
      </c>
      <c r="T66" s="615">
        <f t="shared" si="2"/>
        <v>965.1</v>
      </c>
      <c r="U66" s="1221"/>
      <c r="V66" s="1229"/>
      <c r="W66" s="1221"/>
      <c r="X66" s="1154"/>
      <c r="Y66" s="1155"/>
      <c r="Z66" s="1156"/>
      <c r="AA66" s="1157"/>
      <c r="AB66" s="991"/>
      <c r="AC66" s="991"/>
      <c r="AD66" s="1022"/>
      <c r="AE66" s="1104"/>
      <c r="AF66" s="82"/>
      <c r="AG66" s="2"/>
    </row>
    <row r="67" spans="1:33" ht="20.100000000000001" customHeight="1" thickBot="1" x14ac:dyDescent="0.3">
      <c r="A67" s="1088" t="s">
        <v>474</v>
      </c>
      <c r="B67" s="249">
        <v>1200</v>
      </c>
      <c r="C67" s="287">
        <v>600</v>
      </c>
      <c r="D67" s="288">
        <v>50</v>
      </c>
      <c r="E67" s="319"/>
      <c r="F67" s="319">
        <v>0</v>
      </c>
      <c r="G67" s="310" t="s">
        <v>710</v>
      </c>
      <c r="H67" s="898" t="str">
        <f>IF(OR('ФАСАД Рязань'!$T$6="Завод 'ТЕХНО' г.Рязань",'ФАСАД Рязань'!$T$6="Завод 'ТЕХНО' г.Заинск"),'ФАСАД Рязань'!E67,'ФАСАД Юрга'!E67)</f>
        <v>Б</v>
      </c>
      <c r="I67" s="1183" t="str">
        <f>IF(OR('ФАСАД Рязань'!$T$6="Завод 'ТЕХНО' г.Рязань",'ФАСАД Рязань'!$T$6="Завод 'ТЕХНО' г.Заинск"),'ФАСАД Рязань'!I67,'ФАСАД Юрга'!I67)</f>
        <v xml:space="preserve"> </v>
      </c>
      <c r="J67" s="178"/>
      <c r="K67" s="320">
        <v>6</v>
      </c>
      <c r="L67" s="168">
        <f t="shared" si="7"/>
        <v>4.32</v>
      </c>
      <c r="M67" s="265">
        <f t="shared" si="8"/>
        <v>0.216</v>
      </c>
      <c r="N67" s="320">
        <v>32</v>
      </c>
      <c r="O67" s="132">
        <f t="shared" si="5"/>
        <v>6.9119999999999999</v>
      </c>
      <c r="P67" s="223">
        <f t="shared" si="6"/>
        <v>76.031999999999996</v>
      </c>
      <c r="Q67" s="612"/>
      <c r="R67" s="88">
        <f t="shared" si="1"/>
        <v>1252.152</v>
      </c>
      <c r="S67" s="786">
        <f>IFERROR(IF(OR('ФАСАД Рязань'!$T$6="Завод 'ТЕХНО' г.Рязань",'ФАСАД Рязань'!$T$6="Завод 'ТЕХНО' г.Заинск"),IF('ФАСАД Рязань'!$T$6="Завод 'ТЕХНО' г.Рязань",'ФАСАД Рязань'!R67*(1-'ФАСАД Рязань'!$V$5-'ФАСАД Рязань'!V67)+IFERROR(SEARCH("комп",J67)/SEARCH("комп",J67)*'ФАСАД Рязань'!$R$5,'ФАСАД Рязань'!S$5),'ФАСАД Заинск'!R67*(1-'ФАСАД Рязань'!$V$5-'ФАСАД Рязань'!V67)+IFERROR(SEARCH("комп",J67)/SEARCH("комп",J67)*'ФАСАД Рязань'!$R$5,'ФАСАД Рязань'!S$5)),'ФАСАД Юрга'!R67*(1-'ФАСАД Рязань'!$V$5-'ФАСАД Рязань'!V67)+IFERROR(SEARCH("комп",J67)/SEARCH("комп",J67)*'ФАСАД Рязань'!$R$5,'ФАСАД Рязань'!S$5)),"нет")</f>
        <v>5797</v>
      </c>
      <c r="T67" s="101">
        <f t="shared" si="2"/>
        <v>289.85000000000002</v>
      </c>
      <c r="U67" s="1221"/>
      <c r="V67" s="1229"/>
      <c r="W67" s="1221"/>
      <c r="X67" s="1154"/>
      <c r="Y67" s="1155"/>
      <c r="Z67" s="1156"/>
      <c r="AA67" s="1157"/>
      <c r="AB67" s="991"/>
      <c r="AC67" s="991"/>
      <c r="AD67" s="1022"/>
      <c r="AE67" s="1104"/>
      <c r="AF67" s="82"/>
      <c r="AG67" s="2"/>
    </row>
    <row r="68" spans="1:33" ht="20.100000000000001" customHeight="1" thickBot="1" x14ac:dyDescent="0.3">
      <c r="A68" s="761" t="s">
        <v>30</v>
      </c>
      <c r="B68" s="203">
        <v>1200</v>
      </c>
      <c r="C68" s="204">
        <v>600</v>
      </c>
      <c r="D68" s="209">
        <v>60</v>
      </c>
      <c r="E68" s="263">
        <v>71.428571428571431</v>
      </c>
      <c r="F68" s="263">
        <v>10.333994708994709</v>
      </c>
      <c r="G68" s="264" t="s">
        <v>475</v>
      </c>
      <c r="H68" s="604" t="str">
        <f>IF(OR('ФАСАД Рязань'!$T$6="Завод 'ТЕХНО' г.Рязань",'ФАСАД Рязань'!$T$6="Завод 'ТЕХНО' г.Заинск"),'ФАСАД Рязань'!E68,'ФАСАД Юрга'!E68)</f>
        <v>C</v>
      </c>
      <c r="I68" s="1181">
        <f>IF(OR('ФАСАД Рязань'!$T$6="Завод 'ТЕХНО' г.Рязань",'ФАСАД Рязань'!$T$6="Завод 'ТЕХНО' г.Заинск"),'ФАСАД Рязань'!I68,'ФАСАД Юрга'!I68)</f>
        <v>76.031999999999982</v>
      </c>
      <c r="J68" s="177">
        <v>228.09600000000003</v>
      </c>
      <c r="K68" s="97">
        <v>4</v>
      </c>
      <c r="L68" s="166">
        <f t="shared" si="7"/>
        <v>2.88</v>
      </c>
      <c r="M68" s="169">
        <f t="shared" si="8"/>
        <v>0.17279999999999998</v>
      </c>
      <c r="N68" s="97">
        <v>40</v>
      </c>
      <c r="O68" s="126">
        <f t="shared" si="5"/>
        <v>6.911999999999999</v>
      </c>
      <c r="P68" s="231">
        <f t="shared" si="6"/>
        <v>76.031999999999982</v>
      </c>
      <c r="Q68" s="266"/>
      <c r="R68" s="88">
        <f t="shared" ref="R68:R93" si="15">IFERROR(M68*S68,"---")</f>
        <v>1001.7215999999999</v>
      </c>
      <c r="S68" s="786">
        <f>IFERROR(IF(OR('ФАСАД Рязань'!$T$6="Завод 'ТЕХНО' г.Рязань",'ФАСАД Рязань'!$T$6="Завод 'ТЕХНО' г.Заинск"),IF('ФАСАД Рязань'!$T$6="Завод 'ТЕХНО' г.Рязань",'ФАСАД Рязань'!R68*(1-'ФАСАД Рязань'!$V$5-'ФАСАД Рязань'!V68)+IFERROR(SEARCH("комп",J68)/SEARCH("комп",J68)*'ФАСАД Рязань'!$R$5,'ФАСАД Рязань'!S$5),'ФАСАД Заинск'!R68*(1-'ФАСАД Рязань'!$V$5-'ФАСАД Рязань'!V68)+IFERROR(SEARCH("комп",J68)/SEARCH("комп",J68)*'ФАСАД Рязань'!$R$5,'ФАСАД Рязань'!S$5)),'ФАСАД Юрга'!R68*(1-'ФАСАД Рязань'!$V$5-'ФАСАД Рязань'!V68)+IFERROR(SEARCH("комп",J68)/SEARCH("комп",J68)*'ФАСАД Рязань'!$R$5,'ФАСАД Рязань'!S$5)),"нет")</f>
        <v>5797</v>
      </c>
      <c r="T68" s="101">
        <f t="shared" ref="T68:T93" si="16">IFERROR(S68*D68/1000,"---")</f>
        <v>347.82</v>
      </c>
      <c r="U68" s="1221"/>
      <c r="V68" s="1229"/>
      <c r="W68" s="1221"/>
      <c r="X68" s="1154"/>
      <c r="Y68" s="1155"/>
      <c r="Z68" s="1156"/>
      <c r="AA68" s="1157"/>
      <c r="AB68" s="991"/>
      <c r="AC68" s="991"/>
      <c r="AD68" s="1022"/>
      <c r="AE68" s="1104"/>
      <c r="AF68" s="82"/>
      <c r="AG68" s="2"/>
    </row>
    <row r="69" spans="1:33" ht="20.100000000000001" customHeight="1" thickBot="1" x14ac:dyDescent="0.3">
      <c r="A69" s="761"/>
      <c r="B69" s="203">
        <v>1200</v>
      </c>
      <c r="C69" s="204">
        <v>600</v>
      </c>
      <c r="D69" s="209">
        <v>70</v>
      </c>
      <c r="E69" s="263">
        <v>71.428571428571431</v>
      </c>
      <c r="F69" s="263">
        <v>10.736617879475023</v>
      </c>
      <c r="G69" s="264" t="s">
        <v>476</v>
      </c>
      <c r="H69" s="604" t="str">
        <f>IF(OR('ФАСАД Рязань'!$T$6="Завод 'ТЕХНО' г.Рязань",'ФАСАД Рязань'!$T$6="Завод 'ТЕХНО' г.Заинск"),'ФАСАД Рязань'!E69,'ФАСАД Юрга'!E69)</f>
        <v>C</v>
      </c>
      <c r="I69" s="1181">
        <f>IF(OR('ФАСАД Рязань'!$T$6="Завод 'ТЕХНО' г.Рязань",'ФАСАД Рязань'!$T$6="Завод 'ТЕХНО' г.Заинск"),'ФАСАД Рязань'!I69,'ФАСАД Юрга'!I69)</f>
        <v>79.833600000000018</v>
      </c>
      <c r="J69" s="177">
        <v>219.54240000000001</v>
      </c>
      <c r="K69" s="97">
        <v>3</v>
      </c>
      <c r="L69" s="166">
        <f t="shared" si="7"/>
        <v>2.16</v>
      </c>
      <c r="M69" s="169">
        <f t="shared" si="8"/>
        <v>0.15120000000000003</v>
      </c>
      <c r="N69" s="97">
        <v>44</v>
      </c>
      <c r="O69" s="126">
        <f t="shared" ref="O69:O92" si="17">N69*M69</f>
        <v>6.6528000000000009</v>
      </c>
      <c r="P69" s="231">
        <f t="shared" ref="P69:P92" si="18">O69*11</f>
        <v>73.180800000000005</v>
      </c>
      <c r="Q69" s="266"/>
      <c r="R69" s="88">
        <f t="shared" si="15"/>
        <v>876.50640000000021</v>
      </c>
      <c r="S69" s="786">
        <f>IFERROR(IF(OR('ФАСАД Рязань'!$T$6="Завод 'ТЕХНО' г.Рязань",'ФАСАД Рязань'!$T$6="Завод 'ТЕХНО' г.Заинск"),IF('ФАСАД Рязань'!$T$6="Завод 'ТЕХНО' г.Рязань",'ФАСАД Рязань'!R69*(1-'ФАСАД Рязань'!$V$5-'ФАСАД Рязань'!V69)+IFERROR(SEARCH("комп",J69)/SEARCH("комп",J69)*'ФАСАД Рязань'!$R$5,'ФАСАД Рязань'!S$5),'ФАСАД Заинск'!R69*(1-'ФАСАД Рязань'!$V$5-'ФАСАД Рязань'!V69)+IFERROR(SEARCH("комп",J69)/SEARCH("комп",J69)*'ФАСАД Рязань'!$R$5,'ФАСАД Рязань'!S$5)),'ФАСАД Юрга'!R69*(1-'ФАСАД Рязань'!$V$5-'ФАСАД Рязань'!V69)+IFERROR(SEARCH("комп",J69)/SEARCH("комп",J69)*'ФАСАД Рязань'!$R$5,'ФАСАД Рязань'!S$5)),"нет")</f>
        <v>5797</v>
      </c>
      <c r="T69" s="101">
        <f t="shared" si="16"/>
        <v>405.79</v>
      </c>
      <c r="U69" s="1221"/>
      <c r="V69" s="1229"/>
      <c r="W69" s="1221"/>
      <c r="X69" s="1154"/>
      <c r="Y69" s="1155"/>
      <c r="Z69" s="1156"/>
      <c r="AA69" s="1157"/>
      <c r="AB69" s="991"/>
      <c r="AC69" s="991"/>
      <c r="AD69" s="1022"/>
      <c r="AE69" s="1104"/>
      <c r="AF69" s="82"/>
      <c r="AG69" s="2"/>
    </row>
    <row r="70" spans="1:33" ht="20.100000000000001" customHeight="1" thickBot="1" x14ac:dyDescent="0.3">
      <c r="A70" s="761"/>
      <c r="B70" s="203">
        <v>1200</v>
      </c>
      <c r="C70" s="204">
        <v>600</v>
      </c>
      <c r="D70" s="209">
        <v>80</v>
      </c>
      <c r="E70" s="263"/>
      <c r="F70" s="263">
        <v>0</v>
      </c>
      <c r="G70" s="264" t="s">
        <v>477</v>
      </c>
      <c r="H70" s="604" t="str">
        <f>IF(OR('ФАСАД Рязань'!$T$6="Завод 'ТЕХНО' г.Рязань",'ФАСАД Рязань'!$T$6="Завод 'ТЕХНО' г.Заинск"),'ФАСАД Рязань'!E70,'ФАСАД Юрга'!E70)</f>
        <v>C</v>
      </c>
      <c r="I70" s="1181">
        <f>IF(OR('ФАСАД Рязань'!$T$6="Завод 'ТЕХНО' г.Рязань",'ФАСАД Рязань'!$T$6="Завод 'ТЕХНО' г.Заинск"),'ФАСАД Рязань'!I70,'ФАСАД Юрга'!I70)</f>
        <v>76.032000000000011</v>
      </c>
      <c r="J70" s="177"/>
      <c r="K70" s="274">
        <v>3</v>
      </c>
      <c r="L70" s="166">
        <f t="shared" si="7"/>
        <v>2.16</v>
      </c>
      <c r="M70" s="169">
        <f t="shared" si="8"/>
        <v>0.17280000000000001</v>
      </c>
      <c r="N70" s="97">
        <v>40</v>
      </c>
      <c r="O70" s="126">
        <f t="shared" si="17"/>
        <v>6.9120000000000008</v>
      </c>
      <c r="P70" s="231">
        <f t="shared" si="18"/>
        <v>76.032000000000011</v>
      </c>
      <c r="Q70" s="266"/>
      <c r="R70" s="88">
        <f t="shared" si="15"/>
        <v>1001.7216000000001</v>
      </c>
      <c r="S70" s="786">
        <f>IFERROR(IF(OR('ФАСАД Рязань'!$T$6="Завод 'ТЕХНО' г.Рязань",'ФАСАД Рязань'!$T$6="Завод 'ТЕХНО' г.Заинск"),IF('ФАСАД Рязань'!$T$6="Завод 'ТЕХНО' г.Рязань",'ФАСАД Рязань'!R70*(1-'ФАСАД Рязань'!$V$5-'ФАСАД Рязань'!V70)+IFERROR(SEARCH("комп",J70)/SEARCH("комп",J70)*'ФАСАД Рязань'!$R$5,'ФАСАД Рязань'!S$5),'ФАСАД Заинск'!R70*(1-'ФАСАД Рязань'!$V$5-'ФАСАД Рязань'!V70)+IFERROR(SEARCH("комп",J70)/SEARCH("комп",J70)*'ФАСАД Рязань'!$R$5,'ФАСАД Рязань'!S$5)),'ФАСАД Юрга'!R70*(1-'ФАСАД Рязань'!$V$5-'ФАСАД Рязань'!V70)+IFERROR(SEARCH("комп",J70)/SEARCH("комп",J70)*'ФАСАД Рязань'!$R$5,'ФАСАД Рязань'!S$5)),"нет")</f>
        <v>5797</v>
      </c>
      <c r="T70" s="101">
        <f t="shared" si="16"/>
        <v>463.76</v>
      </c>
      <c r="U70" s="1221"/>
      <c r="V70" s="1229"/>
      <c r="W70" s="1221"/>
      <c r="X70" s="1154"/>
      <c r="Y70" s="1155"/>
      <c r="Z70" s="1156"/>
      <c r="AA70" s="1157"/>
      <c r="AB70" s="991"/>
      <c r="AC70" s="991"/>
      <c r="AD70" s="1022"/>
      <c r="AE70" s="1104"/>
      <c r="AF70" s="82"/>
      <c r="AG70" s="2"/>
    </row>
    <row r="71" spans="1:33" ht="20.100000000000001" customHeight="1" thickBot="1" x14ac:dyDescent="0.3">
      <c r="A71" s="761"/>
      <c r="B71" s="203">
        <v>1200</v>
      </c>
      <c r="C71" s="204">
        <v>600</v>
      </c>
      <c r="D71" s="209">
        <v>90</v>
      </c>
      <c r="E71" s="263">
        <v>71.428571428571431</v>
      </c>
      <c r="F71" s="263">
        <v>11.482216343327455</v>
      </c>
      <c r="G71" s="264" t="s">
        <v>478</v>
      </c>
      <c r="H71" s="604" t="str">
        <f>IF(OR('ФАСАД Рязань'!$T$6="Завод 'ТЕХНО' г.Рязань",'ФАСАД Рязань'!$T$6="Завод 'ТЕХНО' г.Заинск"),'ФАСАД Рязань'!E71,'ФАСАД Юрга'!E71)</f>
        <v>C</v>
      </c>
      <c r="I71" s="1181">
        <f>IF(OR('ФАСАД Рязань'!$T$6="Завод 'ТЕХНО' г.Рязань",'ФАСАД Рязань'!$T$6="Завод 'ТЕХНО' г.Заинск"),'ФАСАД Рязань'!I71,'ФАСАД Юрга'!I71)</f>
        <v>74.649600000000007</v>
      </c>
      <c r="J71" s="177">
        <v>205.28639999999999</v>
      </c>
      <c r="K71" s="274">
        <v>3</v>
      </c>
      <c r="L71" s="166">
        <f t="shared" si="7"/>
        <v>2.16</v>
      </c>
      <c r="M71" s="169">
        <f t="shared" si="8"/>
        <v>0.19440000000000002</v>
      </c>
      <c r="N71" s="97">
        <v>32</v>
      </c>
      <c r="O71" s="126">
        <f t="shared" si="17"/>
        <v>6.2208000000000006</v>
      </c>
      <c r="P71" s="231">
        <f t="shared" si="18"/>
        <v>68.42880000000001</v>
      </c>
      <c r="Q71" s="266"/>
      <c r="R71" s="88">
        <f t="shared" si="15"/>
        <v>1126.9368000000002</v>
      </c>
      <c r="S71" s="786">
        <f>IFERROR(IF(OR('ФАСАД Рязань'!$T$6="Завод 'ТЕХНО' г.Рязань",'ФАСАД Рязань'!$T$6="Завод 'ТЕХНО' г.Заинск"),IF('ФАСАД Рязань'!$T$6="Завод 'ТЕХНО' г.Рязань",'ФАСАД Рязань'!R71*(1-'ФАСАД Рязань'!$V$5-'ФАСАД Рязань'!V71)+IFERROR(SEARCH("комп",J71)/SEARCH("комп",J71)*'ФАСАД Рязань'!$R$5,'ФАСАД Рязань'!S$5),'ФАСАД Заинск'!R71*(1-'ФАСАД Рязань'!$V$5-'ФАСАД Рязань'!V71)+IFERROR(SEARCH("комп",J71)/SEARCH("комп",J71)*'ФАСАД Рязань'!$R$5,'ФАСАД Рязань'!S$5)),'ФАСАД Юрга'!R71*(1-'ФАСАД Рязань'!$V$5-'ФАСАД Рязань'!V71)+IFERROR(SEARCH("комп",J71)/SEARCH("комп",J71)*'ФАСАД Рязань'!$R$5,'ФАСАД Рязань'!S$5)),"нет")</f>
        <v>5797</v>
      </c>
      <c r="T71" s="101">
        <f t="shared" si="16"/>
        <v>521.73</v>
      </c>
      <c r="U71" s="1221"/>
      <c r="V71" s="1229"/>
      <c r="W71" s="1221"/>
      <c r="X71" s="1154"/>
      <c r="Y71" s="1155"/>
      <c r="Z71" s="1156"/>
      <c r="AA71" s="1157"/>
      <c r="AB71" s="991"/>
      <c r="AC71" s="991"/>
      <c r="AD71" s="1022"/>
      <c r="AE71" s="746"/>
      <c r="AF71" s="82"/>
      <c r="AG71" s="2"/>
    </row>
    <row r="72" spans="1:33" ht="19.5" customHeight="1" thickBot="1" x14ac:dyDescent="0.3">
      <c r="A72" s="761"/>
      <c r="B72" s="203">
        <v>1200</v>
      </c>
      <c r="C72" s="204">
        <v>600</v>
      </c>
      <c r="D72" s="209">
        <v>100</v>
      </c>
      <c r="E72" s="263"/>
      <c r="F72" s="263">
        <v>0</v>
      </c>
      <c r="G72" s="264" t="s">
        <v>479</v>
      </c>
      <c r="H72" s="604" t="str">
        <f>IF(OR('ФАСАД Рязань'!$T$6="Завод 'ТЕХНО' г.Рязань",'ФАСАД Рязань'!$T$6="Завод 'ТЕХНО' г.Заинск"),'ФАСАД Рязань'!E72,'ФАСАД Юрга'!E72)</f>
        <v>Б</v>
      </c>
      <c r="I72" s="1181" t="str">
        <f>IF(OR('ФАСАД Рязань'!$T$6="Завод 'ТЕХНО' г.Рязань",'ФАСАД Рязань'!$T$6="Завод 'ТЕХНО' г.Заинск"),'ФАСАД Рязань'!I72,'ФАСАД Юрга'!I72)</f>
        <v xml:space="preserve"> </v>
      </c>
      <c r="J72" s="177"/>
      <c r="K72" s="97">
        <v>3</v>
      </c>
      <c r="L72" s="166">
        <f t="shared" si="7"/>
        <v>2.16</v>
      </c>
      <c r="M72" s="169">
        <f t="shared" si="8"/>
        <v>0.216</v>
      </c>
      <c r="N72" s="97">
        <v>32</v>
      </c>
      <c r="O72" s="126">
        <f t="shared" si="17"/>
        <v>6.9119999999999999</v>
      </c>
      <c r="P72" s="231">
        <f t="shared" si="18"/>
        <v>76.031999999999996</v>
      </c>
      <c r="Q72" s="266"/>
      <c r="R72" s="88">
        <f t="shared" si="15"/>
        <v>1252.152</v>
      </c>
      <c r="S72" s="786">
        <f>IFERROR(IF(OR('ФАСАД Рязань'!$T$6="Завод 'ТЕХНО' г.Рязань",'ФАСАД Рязань'!$T$6="Завод 'ТЕХНО' г.Заинск"),IF('ФАСАД Рязань'!$T$6="Завод 'ТЕХНО' г.Рязань",'ФАСАД Рязань'!R72*(1-'ФАСАД Рязань'!$V$5-'ФАСАД Рязань'!V72)+IFERROR(SEARCH("комп",J72)/SEARCH("комп",J72)*'ФАСАД Рязань'!$R$5,'ФАСАД Рязань'!S$5),'ФАСАД Заинск'!R72*(1-'ФАСАД Рязань'!$V$5-'ФАСАД Рязань'!V72)+IFERROR(SEARCH("комп",J72)/SEARCH("комп",J72)*'ФАСАД Рязань'!$R$5,'ФАСАД Рязань'!S$5)),'ФАСАД Юрга'!R72*(1-'ФАСАД Рязань'!$V$5-'ФАСАД Рязань'!V72)+IFERROR(SEARCH("комп",J72)/SEARCH("комп",J72)*'ФАСАД Рязань'!$R$5,'ФАСАД Рязань'!S$5)),"нет")</f>
        <v>5797</v>
      </c>
      <c r="T72" s="101">
        <f t="shared" si="16"/>
        <v>579.70000000000005</v>
      </c>
      <c r="U72" s="1221"/>
      <c r="V72" s="1229"/>
      <c r="W72" s="1221"/>
      <c r="X72" s="1154"/>
      <c r="Y72" s="1155"/>
      <c r="Z72" s="1156"/>
      <c r="AA72" s="1157"/>
      <c r="AB72" s="991"/>
      <c r="AC72" s="991"/>
      <c r="AD72" s="1022"/>
      <c r="AE72" s="1104"/>
      <c r="AF72" s="82"/>
      <c r="AG72" s="2"/>
    </row>
    <row r="73" spans="1:33" ht="19.5" customHeight="1" thickBot="1" x14ac:dyDescent="0.3">
      <c r="A73" s="869"/>
      <c r="B73" s="203">
        <v>1200</v>
      </c>
      <c r="C73" s="204">
        <v>600</v>
      </c>
      <c r="D73" s="209">
        <v>110</v>
      </c>
      <c r="E73" s="263">
        <v>74.074074074074076</v>
      </c>
      <c r="F73" s="263">
        <v>11.690983913206136</v>
      </c>
      <c r="G73" s="264" t="s">
        <v>480</v>
      </c>
      <c r="H73" s="604" t="str">
        <f>IF(OR('ФАСАД Рязань'!$T$6="Завод 'ТЕХНО' г.Рязань",'ФАСАД Рязань'!$T$6="Завод 'ТЕХНО' г.Заинск"),'ФАСАД Рязань'!E73,'ФАСАД Юрга'!E73)</f>
        <v>C</v>
      </c>
      <c r="I73" s="1181">
        <f>IF(OR('ФАСАД Рязань'!$T$6="Завод 'ТЕХНО' г.Рязань",'ФАСАД Рязань'!$T$6="Завод 'ТЕХНО' г.Заинск"),'ФАСАД Рязань'!I73,'ФАСАД Юрга'!I73)</f>
        <v>76.032000000000011</v>
      </c>
      <c r="J73" s="177">
        <v>228.09600000000003</v>
      </c>
      <c r="K73" s="97">
        <v>2</v>
      </c>
      <c r="L73" s="166">
        <f t="shared" ref="L73:L77" si="19">B73*C73*K73/1000000</f>
        <v>1.44</v>
      </c>
      <c r="M73" s="169">
        <f t="shared" ref="M73:M77" si="20">D73*L73/1000</f>
        <v>0.15840000000000001</v>
      </c>
      <c r="N73" s="97">
        <v>40</v>
      </c>
      <c r="O73" s="126">
        <f t="shared" ref="O73:O77" si="21">N73*M73</f>
        <v>6.3360000000000003</v>
      </c>
      <c r="P73" s="231">
        <f t="shared" ref="P73:P77" si="22">O73*11</f>
        <v>69.695999999999998</v>
      </c>
      <c r="Q73" s="266"/>
      <c r="R73" s="88">
        <f t="shared" si="15"/>
        <v>918.24480000000005</v>
      </c>
      <c r="S73" s="786">
        <f>IFERROR(IF(OR('ФАСАД Рязань'!$T$6="Завод 'ТЕХНО' г.Рязань",'ФАСАД Рязань'!$T$6="Завод 'ТЕХНО' г.Заинск"),IF('ФАСАД Рязань'!$T$6="Завод 'ТЕХНО' г.Рязань",'ФАСАД Рязань'!R73*(1-'ФАСАД Рязань'!$V$5-'ФАСАД Рязань'!V73)+IFERROR(SEARCH("комп",J73)/SEARCH("комп",J73)*'ФАСАД Рязань'!$R$5,'ФАСАД Рязань'!S$5),'ФАСАД Заинск'!R73*(1-'ФАСАД Рязань'!$V$5-'ФАСАД Рязань'!V73)+IFERROR(SEARCH("комп",J73)/SEARCH("комп",J73)*'ФАСАД Рязань'!$R$5,'ФАСАД Рязань'!S$5)),'ФАСАД Юрга'!R73*(1-'ФАСАД Рязань'!$V$5-'ФАСАД Рязань'!V73)+IFERROR(SEARCH("комп",J73)/SEARCH("комп",J73)*'ФАСАД Рязань'!$R$5,'ФАСАД Рязань'!S$5)),"нет")</f>
        <v>5797</v>
      </c>
      <c r="T73" s="101">
        <f t="shared" si="16"/>
        <v>637.66999999999996</v>
      </c>
      <c r="U73" s="1221"/>
      <c r="V73" s="1229"/>
      <c r="W73" s="1221"/>
      <c r="X73" s="1154"/>
      <c r="Y73" s="1155"/>
      <c r="Z73" s="1156"/>
      <c r="AA73" s="1157"/>
      <c r="AB73" s="991"/>
      <c r="AC73" s="991"/>
      <c r="AD73" s="1022"/>
      <c r="AE73" s="746"/>
      <c r="AF73" s="82"/>
      <c r="AG73" s="2"/>
    </row>
    <row r="74" spans="1:33" ht="20.100000000000001" customHeight="1" thickBot="1" x14ac:dyDescent="0.3">
      <c r="A74" s="869"/>
      <c r="B74" s="203">
        <v>1200</v>
      </c>
      <c r="C74" s="204">
        <v>600</v>
      </c>
      <c r="D74" s="209">
        <v>120</v>
      </c>
      <c r="E74" s="263"/>
      <c r="F74" s="263">
        <v>0</v>
      </c>
      <c r="G74" s="264" t="s">
        <v>481</v>
      </c>
      <c r="H74" s="604" t="str">
        <f>IF(OR('ФАСАД Рязань'!$T$6="Завод 'ТЕХНО' г.Рязань",'ФАСАД Рязань'!$T$6="Завод 'ТЕХНО' г.Заинск"),'ФАСАД Рязань'!E74,'ФАСАД Юрга'!E74)</f>
        <v>C</v>
      </c>
      <c r="I74" s="1181">
        <f>IF(OR('ФАСАД Рязань'!$T$6="Завод 'ТЕХНО' г.Рязань",'ФАСАД Рязань'!$T$6="Завод 'ТЕХНО' г.Заинск"),'ФАСАД Рязань'!I74,'ФАСАД Юрга'!I74)</f>
        <v>76.031999999999982</v>
      </c>
      <c r="J74" s="177">
        <v>248.83200000000005</v>
      </c>
      <c r="K74" s="97">
        <v>2</v>
      </c>
      <c r="L74" s="166">
        <f t="shared" si="19"/>
        <v>1.44</v>
      </c>
      <c r="M74" s="169">
        <f t="shared" si="20"/>
        <v>0.17279999999999998</v>
      </c>
      <c r="N74" s="97">
        <v>40</v>
      </c>
      <c r="O74" s="126">
        <f t="shared" si="21"/>
        <v>6.911999999999999</v>
      </c>
      <c r="P74" s="231">
        <f t="shared" si="22"/>
        <v>76.031999999999982</v>
      </c>
      <c r="Q74" s="266"/>
      <c r="R74" s="88">
        <f t="shared" si="15"/>
        <v>1001.7215999999999</v>
      </c>
      <c r="S74" s="786">
        <f>IFERROR(IF(OR('ФАСАД Рязань'!$T$6="Завод 'ТЕХНО' г.Рязань",'ФАСАД Рязань'!$T$6="Завод 'ТЕХНО' г.Заинск"),IF('ФАСАД Рязань'!$T$6="Завод 'ТЕХНО' г.Рязань",'ФАСАД Рязань'!R74*(1-'ФАСАД Рязань'!$V$5-'ФАСАД Рязань'!V74)+IFERROR(SEARCH("комп",J74)/SEARCH("комп",J74)*'ФАСАД Рязань'!$R$5,'ФАСАД Рязань'!S$5),'ФАСАД Заинск'!R74*(1-'ФАСАД Рязань'!$V$5-'ФАСАД Рязань'!V74)+IFERROR(SEARCH("комп",J74)/SEARCH("комп",J74)*'ФАСАД Рязань'!$R$5,'ФАСАД Рязань'!S$5)),'ФАСАД Юрга'!R74*(1-'ФАСАД Рязань'!$V$5-'ФАСАД Рязань'!V74)+IFERROR(SEARCH("комп",J74)/SEARCH("комп",J74)*'ФАСАД Рязань'!$R$5,'ФАСАД Рязань'!S$5)),"нет")</f>
        <v>5797</v>
      </c>
      <c r="T74" s="101">
        <f t="shared" si="16"/>
        <v>695.64</v>
      </c>
      <c r="U74" s="1221"/>
      <c r="V74" s="1229"/>
      <c r="W74" s="1221"/>
      <c r="X74" s="1154"/>
      <c r="Y74" s="1155"/>
      <c r="Z74" s="1156"/>
      <c r="AA74" s="1157"/>
      <c r="AB74" s="991"/>
      <c r="AC74" s="991"/>
      <c r="AD74" s="1022"/>
      <c r="AE74" s="1104"/>
      <c r="AF74" s="82"/>
      <c r="AG74" s="2"/>
    </row>
    <row r="75" spans="1:33" ht="20.100000000000001" customHeight="1" thickBot="1" x14ac:dyDescent="0.3">
      <c r="A75" s="869"/>
      <c r="B75" s="203">
        <v>1200</v>
      </c>
      <c r="C75" s="204">
        <v>600</v>
      </c>
      <c r="D75" s="209">
        <v>130</v>
      </c>
      <c r="E75" s="263">
        <v>74.074074074074076</v>
      </c>
      <c r="F75" s="263">
        <v>10.991523337202349</v>
      </c>
      <c r="G75" s="264" t="s">
        <v>482</v>
      </c>
      <c r="H75" s="604" t="str">
        <f>IF(OR('ФАСАД Рязань'!$T$6="Завод 'ТЕХНО' г.Рязань",'ФАСАД Рязань'!$T$6="Завод 'ТЕХНО' г.Заинск"),'ФАСАД Рязань'!E75,'ФАСАД Юрга'!E75)</f>
        <v>C</v>
      </c>
      <c r="I75" s="1181">
        <f>IF(OR('ФАСАД Рязань'!$T$6="Завод 'ТЕХНО' г.Рязань",'ФАСАД Рязань'!$T$6="Завод 'ТЕХНО' г.Заинск"),'ФАСАД Рязань'!I75,'ФАСАД Юрга'!I75)</f>
        <v>74.131199999999993</v>
      </c>
      <c r="J75" s="177">
        <v>222.39360000000002</v>
      </c>
      <c r="K75" s="97">
        <v>2</v>
      </c>
      <c r="L75" s="166">
        <f t="shared" si="19"/>
        <v>1.44</v>
      </c>
      <c r="M75" s="169">
        <f t="shared" si="20"/>
        <v>0.18719999999999998</v>
      </c>
      <c r="N75" s="97">
        <v>36</v>
      </c>
      <c r="O75" s="126">
        <f t="shared" si="21"/>
        <v>6.7391999999999994</v>
      </c>
      <c r="P75" s="231">
        <f t="shared" si="22"/>
        <v>74.131199999999993</v>
      </c>
      <c r="Q75" s="266"/>
      <c r="R75" s="88">
        <f t="shared" si="15"/>
        <v>1085.1983999999998</v>
      </c>
      <c r="S75" s="786">
        <f>IFERROR(IF(OR('ФАСАД Рязань'!$T$6="Завод 'ТЕХНО' г.Рязань",'ФАСАД Рязань'!$T$6="Завод 'ТЕХНО' г.Заинск"),IF('ФАСАД Рязань'!$T$6="Завод 'ТЕХНО' г.Рязань",'ФАСАД Рязань'!R75*(1-'ФАСАД Рязань'!$V$5-'ФАСАД Рязань'!V75)+IFERROR(SEARCH("комп",J75)/SEARCH("комп",J75)*'ФАСАД Рязань'!$R$5,'ФАСАД Рязань'!S$5),'ФАСАД Заинск'!R75*(1-'ФАСАД Рязань'!$V$5-'ФАСАД Рязань'!V75)+IFERROR(SEARCH("комп",J75)/SEARCH("комп",J75)*'ФАСАД Рязань'!$R$5,'ФАСАД Рязань'!S$5)),'ФАСАД Юрга'!R75*(1-'ФАСАД Рязань'!$V$5-'ФАСАД Рязань'!V75)+IFERROR(SEARCH("комп",J75)/SEARCH("комп",J75)*'ФАСАД Рязань'!$R$5,'ФАСАД Рязань'!S$5)),"нет")</f>
        <v>5797</v>
      </c>
      <c r="T75" s="101">
        <f t="shared" si="16"/>
        <v>753.61</v>
      </c>
      <c r="U75" s="1221"/>
      <c r="V75" s="1229"/>
      <c r="W75" s="1221"/>
      <c r="X75" s="1154"/>
      <c r="Y75" s="1155"/>
      <c r="Z75" s="1156"/>
      <c r="AA75" s="1157"/>
      <c r="AB75" s="991"/>
      <c r="AC75" s="991"/>
      <c r="AD75" s="1022"/>
      <c r="AE75" s="1104"/>
      <c r="AF75" s="82"/>
      <c r="AG75" s="2"/>
    </row>
    <row r="76" spans="1:33" ht="20.100000000000001" customHeight="1" thickBot="1" x14ac:dyDescent="0.3">
      <c r="A76" s="869"/>
      <c r="B76" s="12">
        <v>1200</v>
      </c>
      <c r="C76" s="13">
        <v>600</v>
      </c>
      <c r="D76" s="14">
        <v>140</v>
      </c>
      <c r="E76" s="107">
        <v>74.074074074074076</v>
      </c>
      <c r="F76" s="116">
        <v>11.482216343327455</v>
      </c>
      <c r="G76" s="264" t="s">
        <v>483</v>
      </c>
      <c r="H76" s="604" t="str">
        <f>IF(OR('ФАСАД Рязань'!$T$6="Завод 'ТЕХНО' г.Рязань",'ФАСАД Рязань'!$T$6="Завод 'ТЕХНО' г.Заинск"),'ФАСАД Рязань'!E76,'ФАСАД Юрга'!E76)</f>
        <v>C</v>
      </c>
      <c r="I76" s="1181">
        <f>IF(OR('ФАСАД Рязань'!$T$6="Завод 'ТЕХНО' г.Рязань",'ФАСАД Рязань'!$T$6="Завод 'ТЕХНО' г.Заинск"),'ФАСАД Рязань'!I76,'ФАСАД Юрга'!I76)</f>
        <v>77.414400000000001</v>
      </c>
      <c r="J76" s="177">
        <v>212.8896</v>
      </c>
      <c r="K76" s="97">
        <v>2</v>
      </c>
      <c r="L76" s="166">
        <f t="shared" si="19"/>
        <v>1.44</v>
      </c>
      <c r="M76" s="169">
        <f t="shared" si="20"/>
        <v>0.2016</v>
      </c>
      <c r="N76" s="97">
        <v>32</v>
      </c>
      <c r="O76" s="126">
        <f t="shared" si="21"/>
        <v>6.4512</v>
      </c>
      <c r="P76" s="231">
        <f t="shared" si="22"/>
        <v>70.963200000000001</v>
      </c>
      <c r="Q76" s="266"/>
      <c r="R76" s="88">
        <f t="shared" si="15"/>
        <v>1168.6751999999999</v>
      </c>
      <c r="S76" s="786">
        <f>IFERROR(IF(OR('ФАСАД Рязань'!$T$6="Завод 'ТЕХНО' г.Рязань",'ФАСАД Рязань'!$T$6="Завод 'ТЕХНО' г.Заинск"),IF('ФАСАД Рязань'!$T$6="Завод 'ТЕХНО' г.Рязань",'ФАСАД Рязань'!R76*(1-'ФАСАД Рязань'!$V$5-'ФАСАД Рязань'!V76)+IFERROR(SEARCH("комп",J76)/SEARCH("комп",J76)*'ФАСАД Рязань'!$R$5,'ФАСАД Рязань'!S$5),'ФАСАД Заинск'!R76*(1-'ФАСАД Рязань'!$V$5-'ФАСАД Рязань'!V76)+IFERROR(SEARCH("комп",J76)/SEARCH("комп",J76)*'ФАСАД Рязань'!$R$5,'ФАСАД Рязань'!S$5)),'ФАСАД Юрга'!R76*(1-'ФАСАД Рязань'!$V$5-'ФАСАД Рязань'!V76)+IFERROR(SEARCH("комп",J76)/SEARCH("комп",J76)*'ФАСАД Рязань'!$R$5,'ФАСАД Рязань'!S$5)),"нет")</f>
        <v>5797</v>
      </c>
      <c r="T76" s="101">
        <f t="shared" si="16"/>
        <v>811.58</v>
      </c>
      <c r="U76" s="1221"/>
      <c r="V76" s="1229"/>
      <c r="W76" s="1221"/>
      <c r="X76" s="1154"/>
      <c r="Y76" s="1155"/>
      <c r="Z76" s="1156"/>
      <c r="AA76" s="1157"/>
      <c r="AB76" s="991"/>
      <c r="AC76" s="991"/>
      <c r="AD76" s="1022"/>
      <c r="AE76" s="746"/>
      <c r="AF76" s="82"/>
      <c r="AG76" s="2"/>
    </row>
    <row r="77" spans="1:33" ht="20.100000000000001" customHeight="1" thickBot="1" x14ac:dyDescent="0.3">
      <c r="A77" s="869"/>
      <c r="B77" s="203">
        <v>1200</v>
      </c>
      <c r="C77" s="204">
        <v>600</v>
      </c>
      <c r="D77" s="209">
        <v>150</v>
      </c>
      <c r="E77" s="263">
        <v>74.074074074074076</v>
      </c>
      <c r="F77" s="263">
        <v>10.716735253772292</v>
      </c>
      <c r="G77" s="264" t="s">
        <v>484</v>
      </c>
      <c r="H77" s="604" t="str">
        <f>IF(OR('ФАСАД Рязань'!$T$6="Завод 'ТЕХНО' г.Рязань",'ФАСАД Рязань'!$T$6="Завод 'ТЕХНО' г.Заинск"),'ФАСАД Рязань'!E77,'ФАСАД Юрга'!E77)</f>
        <v>C</v>
      </c>
      <c r="I77" s="1181">
        <f>IF(OR('ФАСАД Рязань'!$T$6="Завод 'ТЕХНО' г.Рязань",'ФАСАД Рязань'!$T$6="Завод 'ТЕХНО' г.Заинск"),'ФАСАД Рязань'!I77,'ФАСАД Юрга'!I77)</f>
        <v>76.031999999999996</v>
      </c>
      <c r="J77" s="177">
        <v>228.096</v>
      </c>
      <c r="K77" s="97">
        <v>2</v>
      </c>
      <c r="L77" s="166">
        <f t="shared" si="19"/>
        <v>1.44</v>
      </c>
      <c r="M77" s="169">
        <f t="shared" si="20"/>
        <v>0.216</v>
      </c>
      <c r="N77" s="97">
        <v>32</v>
      </c>
      <c r="O77" s="126">
        <f t="shared" si="21"/>
        <v>6.9119999999999999</v>
      </c>
      <c r="P77" s="231">
        <f t="shared" si="22"/>
        <v>76.031999999999996</v>
      </c>
      <c r="Q77" s="266"/>
      <c r="R77" s="88">
        <f t="shared" si="15"/>
        <v>1252.152</v>
      </c>
      <c r="S77" s="786">
        <f>IFERROR(IF(OR('ФАСАД Рязань'!$T$6="Завод 'ТЕХНО' г.Рязань",'ФАСАД Рязань'!$T$6="Завод 'ТЕХНО' г.Заинск"),IF('ФАСАД Рязань'!$T$6="Завод 'ТЕХНО' г.Рязань",'ФАСАД Рязань'!R77*(1-'ФАСАД Рязань'!$V$5-'ФАСАД Рязань'!V77)+IFERROR(SEARCH("комп",J77)/SEARCH("комп",J77)*'ФАСАД Рязань'!$R$5,'ФАСАД Рязань'!S$5),'ФАСАД Заинск'!R77*(1-'ФАСАД Рязань'!$V$5-'ФАСАД Рязань'!V77)+IFERROR(SEARCH("комп",J77)/SEARCH("комп",J77)*'ФАСАД Рязань'!$R$5,'ФАСАД Рязань'!S$5)),'ФАСАД Юрга'!R77*(1-'ФАСАД Рязань'!$V$5-'ФАСАД Рязань'!V77)+IFERROR(SEARCH("комп",J77)/SEARCH("комп",J77)*'ФАСАД Рязань'!$R$5,'ФАСАД Рязань'!S$5)),"нет")</f>
        <v>5797</v>
      </c>
      <c r="T77" s="101">
        <f t="shared" si="16"/>
        <v>869.55</v>
      </c>
      <c r="U77" s="1221"/>
      <c r="V77" s="1229"/>
      <c r="W77" s="1221"/>
      <c r="X77" s="1154"/>
      <c r="Y77" s="1155"/>
      <c r="Z77" s="1156"/>
      <c r="AA77" s="1157"/>
      <c r="AB77" s="991"/>
      <c r="AC77" s="991"/>
      <c r="AD77" s="1022"/>
      <c r="AE77" s="1104"/>
      <c r="AF77" s="82"/>
      <c r="AG77" s="2"/>
    </row>
    <row r="78" spans="1:33" ht="19.5" customHeight="1" thickBot="1" x14ac:dyDescent="0.3">
      <c r="A78" s="761"/>
      <c r="B78" s="203">
        <v>1200</v>
      </c>
      <c r="C78" s="204">
        <v>600</v>
      </c>
      <c r="D78" s="209">
        <v>160</v>
      </c>
      <c r="E78" s="263">
        <v>74.074074074074076</v>
      </c>
      <c r="F78" s="263">
        <v>11.690983913206136</v>
      </c>
      <c r="G78" s="264" t="s">
        <v>575</v>
      </c>
      <c r="H78" s="604" t="str">
        <f>IF(OR('ФАСАД Рязань'!$T$6="Завод 'ТЕХНО' г.Рязань",'ФАСАД Рязань'!$T$6="Завод 'ТЕХНО' г.Заинск"),'ФАСАД Рязань'!E78,'ФАСАД Юрга'!E78)</f>
        <v>C</v>
      </c>
      <c r="I78" s="1181">
        <f>IF(OR('ФАСАД Рязань'!$T$6="Завод 'ТЕХНО' г.Рязань",'ФАСАД Рязань'!$T$6="Завод 'ТЕХНО' г.Заинск"),'ФАСАД Рязань'!I78,'ФАСАД Юрга'!I78)</f>
        <v>77.414399999999986</v>
      </c>
      <c r="J78" s="177">
        <v>228.09600000000003</v>
      </c>
      <c r="K78" s="97">
        <v>2</v>
      </c>
      <c r="L78" s="166">
        <f t="shared" si="7"/>
        <v>1.44</v>
      </c>
      <c r="M78" s="169">
        <f t="shared" si="8"/>
        <v>0.23039999999999997</v>
      </c>
      <c r="N78" s="97">
        <v>28</v>
      </c>
      <c r="O78" s="126">
        <f t="shared" si="17"/>
        <v>6.4511999999999992</v>
      </c>
      <c r="P78" s="231">
        <f t="shared" si="18"/>
        <v>70.963199999999986</v>
      </c>
      <c r="Q78" s="266"/>
      <c r="R78" s="88">
        <f t="shared" si="15"/>
        <v>1335.6287999999997</v>
      </c>
      <c r="S78" s="786">
        <f>IFERROR(IF(OR('ФАСАД Рязань'!$T$6="Завод 'ТЕХНО' г.Рязань",'ФАСАД Рязань'!$T$6="Завод 'ТЕХНО' г.Заинск"),IF('ФАСАД Рязань'!$T$6="Завод 'ТЕХНО' г.Рязань",'ФАСАД Рязань'!R78*(1-'ФАСАД Рязань'!$V$5-'ФАСАД Рязань'!V78)+IFERROR(SEARCH("комп",J78)/SEARCH("комп",J78)*'ФАСАД Рязань'!$R$5,'ФАСАД Рязань'!S$5),'ФАСАД Заинск'!R78*(1-'ФАСАД Рязань'!$V$5-'ФАСАД Рязань'!V78)+IFERROR(SEARCH("комп",J78)/SEARCH("комп",J78)*'ФАСАД Рязань'!$R$5,'ФАСАД Рязань'!S$5)),'ФАСАД Юрга'!R78*(1-'ФАСАД Рязань'!$V$5-'ФАСАД Рязань'!V78)+IFERROR(SEARCH("комп",J78)/SEARCH("комп",J78)*'ФАСАД Рязань'!$R$5,'ФАСАД Рязань'!S$5)),"нет")</f>
        <v>5797</v>
      </c>
      <c r="T78" s="101">
        <f t="shared" si="16"/>
        <v>927.52</v>
      </c>
      <c r="U78" s="1221"/>
      <c r="V78" s="1229"/>
      <c r="W78" s="1221"/>
      <c r="X78" s="1154"/>
      <c r="Y78" s="1155"/>
      <c r="Z78" s="1156"/>
      <c r="AA78" s="1157"/>
      <c r="AB78" s="991"/>
      <c r="AC78" s="991"/>
      <c r="AD78" s="1022"/>
      <c r="AE78" s="746"/>
      <c r="AF78" s="82"/>
      <c r="AG78" s="2"/>
    </row>
    <row r="79" spans="1:33" ht="20.100000000000001" customHeight="1" thickBot="1" x14ac:dyDescent="0.3">
      <c r="A79" s="761"/>
      <c r="B79" s="203">
        <v>1200</v>
      </c>
      <c r="C79" s="204">
        <v>600</v>
      </c>
      <c r="D79" s="209">
        <v>170</v>
      </c>
      <c r="E79" s="263"/>
      <c r="F79" s="263">
        <v>0</v>
      </c>
      <c r="G79" s="264" t="s">
        <v>576</v>
      </c>
      <c r="H79" s="604" t="str">
        <f>IF(OR('ФАСАД Рязань'!$T$6="Завод 'ТЕХНО' г.Рязань",'ФАСАД Рязань'!$T$6="Завод 'ТЕХНО' г.Заинск"),'ФАСАД Рязань'!E79,'ФАСАД Юрга'!E79)</f>
        <v>C</v>
      </c>
      <c r="I79" s="1181">
        <f>IF(OR('ФАСАД Рязань'!$T$6="Завод 'ТЕХНО' г.Рязань",'ФАСАД Рязань'!$T$6="Завод 'ТЕХНО' г.Заинск"),'ФАСАД Рязань'!I79,'ФАСАД Юрга'!I79)</f>
        <v>75.398399999999995</v>
      </c>
      <c r="J79" s="177">
        <v>248.83200000000005</v>
      </c>
      <c r="K79" s="97">
        <v>2</v>
      </c>
      <c r="L79" s="166">
        <f t="shared" si="7"/>
        <v>1.44</v>
      </c>
      <c r="M79" s="169">
        <f t="shared" si="8"/>
        <v>0.24479999999999999</v>
      </c>
      <c r="N79" s="97">
        <v>28</v>
      </c>
      <c r="O79" s="126">
        <f t="shared" si="17"/>
        <v>6.8544</v>
      </c>
      <c r="P79" s="231">
        <f t="shared" si="18"/>
        <v>75.398399999999995</v>
      </c>
      <c r="Q79" s="266"/>
      <c r="R79" s="88">
        <f t="shared" si="15"/>
        <v>1419.1055999999999</v>
      </c>
      <c r="S79" s="786">
        <f>IFERROR(IF(OR('ФАСАД Рязань'!$T$6="Завод 'ТЕХНО' г.Рязань",'ФАСАД Рязань'!$T$6="Завод 'ТЕХНО' г.Заинск"),IF('ФАСАД Рязань'!$T$6="Завод 'ТЕХНО' г.Рязань",'ФАСАД Рязань'!R79*(1-'ФАСАД Рязань'!$V$5-'ФАСАД Рязань'!V79)+IFERROR(SEARCH("комп",J79)/SEARCH("комп",J79)*'ФАСАД Рязань'!$R$5,'ФАСАД Рязань'!S$5),'ФАСАД Заинск'!R79*(1-'ФАСАД Рязань'!$V$5-'ФАСАД Рязань'!V79)+IFERROR(SEARCH("комп",J79)/SEARCH("комп",J79)*'ФАСАД Рязань'!$R$5,'ФАСАД Рязань'!S$5)),'ФАСАД Юрга'!R79*(1-'ФАСАД Рязань'!$V$5-'ФАСАД Рязань'!V79)+IFERROR(SEARCH("комп",J79)/SEARCH("комп",J79)*'ФАСАД Рязань'!$R$5,'ФАСАД Рязань'!S$5)),"нет")</f>
        <v>5797</v>
      </c>
      <c r="T79" s="101">
        <f t="shared" si="16"/>
        <v>985.49</v>
      </c>
      <c r="U79" s="1221"/>
      <c r="V79" s="1229"/>
      <c r="W79" s="1221"/>
      <c r="X79" s="1154"/>
      <c r="Y79" s="1155"/>
      <c r="Z79" s="1156"/>
      <c r="AA79" s="1157"/>
      <c r="AB79" s="991"/>
      <c r="AC79" s="991"/>
      <c r="AD79" s="1022"/>
      <c r="AE79" s="1104"/>
      <c r="AF79" s="82"/>
      <c r="AG79" s="2"/>
    </row>
    <row r="80" spans="1:33" ht="20.100000000000001" customHeight="1" thickBot="1" x14ac:dyDescent="0.3">
      <c r="A80" s="761"/>
      <c r="B80" s="203">
        <v>1200</v>
      </c>
      <c r="C80" s="204">
        <v>600</v>
      </c>
      <c r="D80" s="209">
        <v>180</v>
      </c>
      <c r="E80" s="263">
        <v>74.074074074074076</v>
      </c>
      <c r="F80" s="263">
        <v>10.991523337202349</v>
      </c>
      <c r="G80" s="264" t="s">
        <v>577</v>
      </c>
      <c r="H80" s="604" t="str">
        <f>IF(OR('ФАСАД Рязань'!$T$6="Завод 'ТЕХНО' г.Рязань",'ФАСАД Рязань'!$T$6="Завод 'ТЕХНО' г.Заинск"),'ФАСАД Рязань'!E80,'ФАСАД Юрга'!E80)</f>
        <v>C</v>
      </c>
      <c r="I80" s="1181">
        <f>IF(OR('ФАСАД Рязань'!$T$6="Завод 'ТЕХНО' г.Рязань",'ФАСАД Рязань'!$T$6="Завод 'ТЕХНО' г.Заинск"),'ФАСАД Рязань'!I80,'ФАСАД Юрга'!I80)</f>
        <v>74.649599999999992</v>
      </c>
      <c r="J80" s="177">
        <v>222.39360000000002</v>
      </c>
      <c r="K80" s="97">
        <v>2</v>
      </c>
      <c r="L80" s="166">
        <f t="shared" si="7"/>
        <v>1.44</v>
      </c>
      <c r="M80" s="169">
        <f t="shared" si="8"/>
        <v>0.25919999999999999</v>
      </c>
      <c r="N80" s="97">
        <v>24</v>
      </c>
      <c r="O80" s="126">
        <f t="shared" si="17"/>
        <v>6.2207999999999997</v>
      </c>
      <c r="P80" s="231">
        <f t="shared" si="18"/>
        <v>68.428799999999995</v>
      </c>
      <c r="Q80" s="266"/>
      <c r="R80" s="88">
        <f t="shared" si="15"/>
        <v>1502.5824</v>
      </c>
      <c r="S80" s="786">
        <f>IFERROR(IF(OR('ФАСАД Рязань'!$T$6="Завод 'ТЕХНО' г.Рязань",'ФАСАД Рязань'!$T$6="Завод 'ТЕХНО' г.Заинск"),IF('ФАСАД Рязань'!$T$6="Завод 'ТЕХНО' г.Рязань",'ФАСАД Рязань'!R80*(1-'ФАСАД Рязань'!$V$5-'ФАСАД Рязань'!V80)+IFERROR(SEARCH("комп",J80)/SEARCH("комп",J80)*'ФАСАД Рязань'!$R$5,'ФАСАД Рязань'!S$5),'ФАСАД Заинск'!R80*(1-'ФАСАД Рязань'!$V$5-'ФАСАД Рязань'!V80)+IFERROR(SEARCH("комп",J80)/SEARCH("комп",J80)*'ФАСАД Рязань'!$R$5,'ФАСАД Рязань'!S$5)),'ФАСАД Юрга'!R80*(1-'ФАСАД Рязань'!$V$5-'ФАСАД Рязань'!V80)+IFERROR(SEARCH("комп",J80)/SEARCH("комп",J80)*'ФАСАД Рязань'!$R$5,'ФАСАД Рязань'!S$5)),"нет")</f>
        <v>5797</v>
      </c>
      <c r="T80" s="101">
        <f t="shared" si="16"/>
        <v>1043.46</v>
      </c>
      <c r="U80" s="1221"/>
      <c r="V80" s="1229"/>
      <c r="W80" s="1221"/>
      <c r="X80" s="1154"/>
      <c r="Y80" s="1155"/>
      <c r="Z80" s="1156"/>
      <c r="AA80" s="1157"/>
      <c r="AB80" s="991"/>
      <c r="AC80" s="991"/>
      <c r="AD80" s="1022"/>
      <c r="AE80" s="1104"/>
      <c r="AF80" s="82"/>
      <c r="AG80" s="2"/>
    </row>
    <row r="81" spans="1:33" ht="20.100000000000001" customHeight="1" thickBot="1" x14ac:dyDescent="0.3">
      <c r="A81" s="761"/>
      <c r="B81" s="12">
        <v>1200</v>
      </c>
      <c r="C81" s="13">
        <v>600</v>
      </c>
      <c r="D81" s="14">
        <v>190</v>
      </c>
      <c r="E81" s="107">
        <v>74.074074074074076</v>
      </c>
      <c r="F81" s="116">
        <v>11.482216343327455</v>
      </c>
      <c r="G81" s="264" t="s">
        <v>578</v>
      </c>
      <c r="H81" s="604" t="str">
        <f>IF(OR('ФАСАД Рязань'!$T$6="Завод 'ТЕХНО' г.Рязань",'ФАСАД Рязань'!$T$6="Завод 'ТЕХНО' г.Заинск"),'ФАСАД Рязань'!E81,'ФАСАД Юрга'!E81)</f>
        <v>C</v>
      </c>
      <c r="I81" s="1181">
        <f>IF(OR('ФАСАД Рязань'!$T$6="Завод 'ТЕХНО' г.Рязань",'ФАСАД Рязань'!$T$6="Завод 'ТЕХНО' г.Заинск"),'ФАСАД Рязань'!I81,'ФАСАД Юрга'!I81)</f>
        <v>78.79679999999999</v>
      </c>
      <c r="J81" s="177">
        <v>212.8896</v>
      </c>
      <c r="K81" s="97">
        <v>2</v>
      </c>
      <c r="L81" s="166">
        <f t="shared" si="7"/>
        <v>1.44</v>
      </c>
      <c r="M81" s="169">
        <f t="shared" si="8"/>
        <v>0.27359999999999995</v>
      </c>
      <c r="N81" s="97">
        <v>24</v>
      </c>
      <c r="O81" s="126">
        <f t="shared" si="17"/>
        <v>6.5663999999999989</v>
      </c>
      <c r="P81" s="231">
        <f t="shared" si="18"/>
        <v>72.230399999999989</v>
      </c>
      <c r="Q81" s="266"/>
      <c r="R81" s="88">
        <f t="shared" si="15"/>
        <v>1586.0591999999997</v>
      </c>
      <c r="S81" s="786">
        <f>IFERROR(IF(OR('ФАСАД Рязань'!$T$6="Завод 'ТЕХНО' г.Рязань",'ФАСАД Рязань'!$T$6="Завод 'ТЕХНО' г.Заинск"),IF('ФАСАД Рязань'!$T$6="Завод 'ТЕХНО' г.Рязань",'ФАСАД Рязань'!R81*(1-'ФАСАД Рязань'!$V$5-'ФАСАД Рязань'!V81)+IFERROR(SEARCH("комп",J81)/SEARCH("комп",J81)*'ФАСАД Рязань'!$R$5,'ФАСАД Рязань'!S$5),'ФАСАД Заинск'!R81*(1-'ФАСАД Рязань'!$V$5-'ФАСАД Рязань'!V81)+IFERROR(SEARCH("комп",J81)/SEARCH("комп",J81)*'ФАСАД Рязань'!$R$5,'ФАСАД Рязань'!S$5)),'ФАСАД Юрга'!R81*(1-'ФАСАД Рязань'!$V$5-'ФАСАД Рязань'!V81)+IFERROR(SEARCH("комп",J81)/SEARCH("комп",J81)*'ФАСАД Рязань'!$R$5,'ФАСАД Рязань'!S$5)),"нет")</f>
        <v>5797</v>
      </c>
      <c r="T81" s="101">
        <f t="shared" si="16"/>
        <v>1101.43</v>
      </c>
      <c r="U81" s="1221"/>
      <c r="V81" s="1229"/>
      <c r="W81" s="1221"/>
      <c r="X81" s="1154"/>
      <c r="Y81" s="1155"/>
      <c r="Z81" s="1156"/>
      <c r="AA81" s="1157"/>
      <c r="AB81" s="991"/>
      <c r="AC81" s="991"/>
      <c r="AD81" s="1022"/>
      <c r="AE81" s="746"/>
      <c r="AF81" s="82"/>
      <c r="AG81" s="2"/>
    </row>
    <row r="82" spans="1:33" ht="20.100000000000001" customHeight="1" thickBot="1" x14ac:dyDescent="0.3">
      <c r="A82" s="761"/>
      <c r="B82" s="15">
        <v>1200</v>
      </c>
      <c r="C82" s="16">
        <v>600</v>
      </c>
      <c r="D82" s="17">
        <v>200</v>
      </c>
      <c r="E82" s="108">
        <v>74.074074074074076</v>
      </c>
      <c r="F82" s="444">
        <v>10.716735253772292</v>
      </c>
      <c r="G82" s="317" t="s">
        <v>579</v>
      </c>
      <c r="H82" s="604" t="str">
        <f>IF(OR('ФАСАД Рязань'!$T$6="Завод 'ТЕХНО' г.Рязань",'ФАСАД Рязань'!$T$6="Завод 'ТЕХНО' г.Заинск"),'ФАСАД Рязань'!E82,'ФАСАД Юрга'!E82)</f>
        <v>C</v>
      </c>
      <c r="I82" s="1182">
        <f>IF(OR('ФАСАД Рязань'!$T$6="Завод 'ТЕХНО' г.Рязань",'ФАСАД Рязань'!$T$6="Завод 'ТЕХНО' г.Заинск"),'ФАСАД Рязань'!I82,'ФАСАД Юрга'!I82)</f>
        <v>76.031999999999982</v>
      </c>
      <c r="J82" s="455">
        <v>228.096</v>
      </c>
      <c r="K82" s="306">
        <v>1</v>
      </c>
      <c r="L82" s="167">
        <f t="shared" si="7"/>
        <v>0.72</v>
      </c>
      <c r="M82" s="129">
        <f t="shared" si="8"/>
        <v>0.14399999999999999</v>
      </c>
      <c r="N82" s="306">
        <v>48</v>
      </c>
      <c r="O82" s="129">
        <f t="shared" si="17"/>
        <v>6.911999999999999</v>
      </c>
      <c r="P82" s="260">
        <f t="shared" si="18"/>
        <v>76.031999999999982</v>
      </c>
      <c r="Q82" s="308"/>
      <c r="R82" s="479">
        <f t="shared" si="15"/>
        <v>834.76799999999992</v>
      </c>
      <c r="S82" s="787">
        <f>IFERROR(IF(OR('ФАСАД Рязань'!$T$6="Завод 'ТЕХНО' г.Рязань",'ФАСАД Рязань'!$T$6="Завод 'ТЕХНО' г.Заинск"),IF('ФАСАД Рязань'!$T$6="Завод 'ТЕХНО' г.Рязань",'ФАСАД Рязань'!R82*(1-'ФАСАД Рязань'!$V$5-'ФАСАД Рязань'!V82)+IFERROR(SEARCH("комп",J82)/SEARCH("комп",J82)*'ФАСАД Рязань'!$R$5,'ФАСАД Рязань'!S$5),'ФАСАД Заинск'!R82*(1-'ФАСАД Рязань'!$V$5-'ФАСАД Рязань'!V82)+IFERROR(SEARCH("комп",J82)/SEARCH("комп",J82)*'ФАСАД Рязань'!$R$5,'ФАСАД Рязань'!S$5)),'ФАСАД Юрга'!R82*(1-'ФАСАД Рязань'!$V$5-'ФАСАД Рязань'!V82)+IFERROR(SEARCH("комп",J82)/SEARCH("комп",J82)*'ФАСАД Рязань'!$R$5,'ФАСАД Рязань'!S$5)),"нет")</f>
        <v>5797</v>
      </c>
      <c r="T82" s="102">
        <f t="shared" si="16"/>
        <v>1159.4000000000001</v>
      </c>
      <c r="U82" s="1221"/>
      <c r="V82" s="1229"/>
      <c r="W82" s="1221"/>
      <c r="X82" s="1154"/>
      <c r="Y82" s="1155"/>
      <c r="Z82" s="1156"/>
      <c r="AA82" s="1157"/>
      <c r="AB82" s="991"/>
      <c r="AC82" s="991"/>
      <c r="AD82" s="1022"/>
      <c r="AE82" s="1104"/>
      <c r="AF82" s="82"/>
      <c r="AG82" s="2"/>
    </row>
    <row r="83" spans="1:33" ht="20.100000000000001" customHeight="1" thickBot="1" x14ac:dyDescent="0.3">
      <c r="A83" s="35" t="s">
        <v>486</v>
      </c>
      <c r="B83" s="252">
        <v>1200</v>
      </c>
      <c r="C83" s="250">
        <v>600</v>
      </c>
      <c r="D83" s="251">
        <v>50</v>
      </c>
      <c r="E83" s="319"/>
      <c r="F83" s="319">
        <v>0</v>
      </c>
      <c r="G83" s="310" t="s">
        <v>711</v>
      </c>
      <c r="H83" s="604" t="str">
        <f>IF(OR('ФАСАД Рязань'!$T$6="Завод 'ТЕХНО' г.Рязань",'ФАСАД Рязань'!$T$6="Завод 'ТЕХНО' г.Заинск"),'ФАСАД Рязань'!E83,'ФАСАД Юрга'!E83)</f>
        <v>C</v>
      </c>
      <c r="I83" s="1183">
        <f>IF(OR('ФАСАД Рязань'!$T$6="Завод 'ТЕХНО' г.Рязань",'ФАСАД Рязань'!$T$6="Завод 'ТЕХНО' г.Заинск"),'ФАСАД Рязань'!I83,'ФАСАД Юрга'!I83)</f>
        <v>117.504</v>
      </c>
      <c r="J83" s="178"/>
      <c r="K83" s="311">
        <v>6</v>
      </c>
      <c r="L83" s="168">
        <f t="shared" si="7"/>
        <v>4.32</v>
      </c>
      <c r="M83" s="265">
        <f t="shared" si="8"/>
        <v>0.216</v>
      </c>
      <c r="N83" s="320">
        <v>32</v>
      </c>
      <c r="O83" s="132">
        <f t="shared" si="17"/>
        <v>6.9119999999999999</v>
      </c>
      <c r="P83" s="223">
        <f t="shared" si="18"/>
        <v>76.031999999999996</v>
      </c>
      <c r="Q83" s="321"/>
      <c r="R83" s="88">
        <f t="shared" si="15"/>
        <v>867.88800000000003</v>
      </c>
      <c r="S83" s="786">
        <f>IFERROR(IF(OR('ФАСАД Рязань'!$T$6="Завод 'ТЕХНО' г.Рязань",'ФАСАД Рязань'!$T$6="Завод 'ТЕХНО' г.Заинск"),IF('ФАСАД Рязань'!$T$6="Завод 'ТЕХНО' г.Рязань",'ФАСАД Рязань'!R83*(1-'ФАСАД Рязань'!$V$5-'ФАСАД Рязань'!V83)+IFERROR(SEARCH("комп",J83)/SEARCH("комп",J83)*'ФАСАД Рязань'!$R$5,'ФАСАД Рязань'!S$5),'ФАСАД Заинск'!R83*(1-'ФАСАД Рязань'!$V$5-'ФАСАД Рязань'!V83)+IFERROR(SEARCH("комп",J83)/SEARCH("комп",J83)*'ФАСАД Рязань'!$R$5,'ФАСАД Рязань'!S$5)),'ФАСАД Юрга'!R83*(1-'ФАСАД Рязань'!$V$5-'ФАСАД Рязань'!V83)+IFERROR(SEARCH("комп",J83)/SEARCH("комп",J83)*'ФАСАД Рязань'!$R$5,'ФАСАД Рязань'!S$5)),"нет")</f>
        <v>4018</v>
      </c>
      <c r="T83" s="101">
        <f t="shared" si="16"/>
        <v>200.9</v>
      </c>
      <c r="U83" s="1221"/>
      <c r="V83" s="1229"/>
      <c r="W83" s="1221"/>
      <c r="X83" s="1154"/>
      <c r="Y83" s="1155"/>
      <c r="Z83" s="1156"/>
      <c r="AA83" s="1157"/>
      <c r="AB83" s="991"/>
      <c r="AC83" s="991"/>
      <c r="AD83" s="1022"/>
      <c r="AE83" s="1104"/>
      <c r="AF83" s="82"/>
      <c r="AG83" s="2"/>
    </row>
    <row r="84" spans="1:33" ht="20.100000000000001" customHeight="1" thickBot="1" x14ac:dyDescent="0.3">
      <c r="A84" s="762" t="s">
        <v>30</v>
      </c>
      <c r="B84" s="203">
        <v>1200</v>
      </c>
      <c r="C84" s="204">
        <v>600</v>
      </c>
      <c r="D84" s="209">
        <v>60</v>
      </c>
      <c r="E84" s="263">
        <v>71.428571428571431</v>
      </c>
      <c r="F84" s="263">
        <v>10.333994708994709</v>
      </c>
      <c r="G84" s="310" t="s">
        <v>487</v>
      </c>
      <c r="H84" s="604" t="str">
        <f>IF(OR('ФАСАД Рязань'!$T$6="Завод 'ТЕХНО' г.Рязань",'ФАСАД Рязань'!$T$6="Завод 'ТЕХНО' г.Заинск"),'ФАСАД Рязань'!E84,'ФАСАД Юрга'!E84)</f>
        <v>C</v>
      </c>
      <c r="I84" s="1181">
        <f>IF(OR('ФАСАД Рязань'!$T$6="Завод 'ТЕХНО' г.Рязань",'ФАСАД Рязань'!$T$6="Завод 'ТЕХНО' г.Заинск"),'ФАСАД Рязань'!I84,'ФАСАД Юрга'!I84)</f>
        <v>117.50399999999999</v>
      </c>
      <c r="J84" s="177">
        <v>228.09600000000003</v>
      </c>
      <c r="K84" s="97">
        <v>4</v>
      </c>
      <c r="L84" s="166">
        <f t="shared" si="7"/>
        <v>2.88</v>
      </c>
      <c r="M84" s="169">
        <f t="shared" si="8"/>
        <v>0.17279999999999998</v>
      </c>
      <c r="N84" s="97">
        <v>40</v>
      </c>
      <c r="O84" s="126">
        <f t="shared" si="17"/>
        <v>6.911999999999999</v>
      </c>
      <c r="P84" s="231">
        <f t="shared" si="18"/>
        <v>76.031999999999982</v>
      </c>
      <c r="Q84" s="266"/>
      <c r="R84" s="88">
        <f t="shared" si="15"/>
        <v>694.31039999999996</v>
      </c>
      <c r="S84" s="786">
        <f>IFERROR(IF(OR('ФАСАД Рязань'!$T$6="Завод 'ТЕХНО' г.Рязань",'ФАСАД Рязань'!$T$6="Завод 'ТЕХНО' г.Заинск"),IF('ФАСАД Рязань'!$T$6="Завод 'ТЕХНО' г.Рязань",'ФАСАД Рязань'!R84*(1-'ФАСАД Рязань'!$V$5-'ФАСАД Рязань'!V84)+IFERROR(SEARCH("комп",J84)/SEARCH("комп",J84)*'ФАСАД Рязань'!$R$5,'ФАСАД Рязань'!S$5),'ФАСАД Заинск'!R84*(1-'ФАСАД Рязань'!$V$5-'ФАСАД Рязань'!V84)+IFERROR(SEARCH("комп",J84)/SEARCH("комп",J84)*'ФАСАД Рязань'!$R$5,'ФАСАД Рязань'!S$5)),'ФАСАД Юрга'!R84*(1-'ФАСАД Рязань'!$V$5-'ФАСАД Рязань'!V84)+IFERROR(SEARCH("комп",J84)/SEARCH("комп",J84)*'ФАСАД Рязань'!$R$5,'ФАСАД Рязань'!S$5)),"нет")</f>
        <v>4018</v>
      </c>
      <c r="T84" s="101">
        <f t="shared" si="16"/>
        <v>241.08</v>
      </c>
      <c r="U84" s="1221"/>
      <c r="V84" s="1229"/>
      <c r="W84" s="1221"/>
      <c r="X84" s="1154"/>
      <c r="Y84" s="1155"/>
      <c r="Z84" s="1156"/>
      <c r="AA84" s="1157"/>
      <c r="AB84" s="991"/>
      <c r="AC84" s="991"/>
      <c r="AD84" s="1022"/>
      <c r="AE84" s="1104"/>
      <c r="AF84" s="82"/>
      <c r="AG84" s="2"/>
    </row>
    <row r="85" spans="1:33" ht="20.100000000000001" customHeight="1" thickBot="1" x14ac:dyDescent="0.3">
      <c r="A85" s="762"/>
      <c r="B85" s="203">
        <v>1200</v>
      </c>
      <c r="C85" s="204">
        <v>600</v>
      </c>
      <c r="D85" s="209">
        <v>70</v>
      </c>
      <c r="E85" s="263">
        <v>71.428571428571431</v>
      </c>
      <c r="F85" s="263">
        <v>10.736617879475023</v>
      </c>
      <c r="G85" s="310" t="s">
        <v>488</v>
      </c>
      <c r="H85" s="604" t="str">
        <f>IF(OR('ФАСАД Рязань'!$T$6="Завод 'ТЕХНО' г.Рязань",'ФАСАД Рязань'!$T$6="Завод 'ТЕХНО' г.Заинск"),'ФАСАД Рязань'!E85,'ФАСАД Юрга'!E85)</f>
        <v>C</v>
      </c>
      <c r="I85" s="1181">
        <f>IF(OR('ФАСАД Рязань'!$T$6="Завод 'ТЕХНО' г.Рязань",'ФАСАД Рязань'!$T$6="Завод 'ТЕХНО' г.Заинск"),'ФАСАД Рязань'!I85,'ФАСАД Юрга'!I85)</f>
        <v>113.09760000000001</v>
      </c>
      <c r="J85" s="177">
        <v>219.54240000000001</v>
      </c>
      <c r="K85" s="97">
        <v>3</v>
      </c>
      <c r="L85" s="166">
        <f t="shared" si="7"/>
        <v>2.16</v>
      </c>
      <c r="M85" s="169">
        <f t="shared" si="8"/>
        <v>0.15120000000000003</v>
      </c>
      <c r="N85" s="97">
        <v>44</v>
      </c>
      <c r="O85" s="126">
        <f t="shared" si="17"/>
        <v>6.6528000000000009</v>
      </c>
      <c r="P85" s="231">
        <f t="shared" si="18"/>
        <v>73.180800000000005</v>
      </c>
      <c r="Q85" s="266"/>
      <c r="R85" s="88">
        <f t="shared" si="15"/>
        <v>607.52160000000015</v>
      </c>
      <c r="S85" s="786">
        <f>IFERROR(IF(OR('ФАСАД Рязань'!$T$6="Завод 'ТЕХНО' г.Рязань",'ФАСАД Рязань'!$T$6="Завод 'ТЕХНО' г.Заинск"),IF('ФАСАД Рязань'!$T$6="Завод 'ТЕХНО' г.Рязань",'ФАСАД Рязань'!R85*(1-'ФАСАД Рязань'!$V$5-'ФАСАД Рязань'!V85)+IFERROR(SEARCH("комп",J85)/SEARCH("комп",J85)*'ФАСАД Рязань'!$R$5,'ФАСАД Рязань'!S$5),'ФАСАД Заинск'!R85*(1-'ФАСАД Рязань'!$V$5-'ФАСАД Рязань'!V85)+IFERROR(SEARCH("комп",J85)/SEARCH("комп",J85)*'ФАСАД Рязань'!$R$5,'ФАСАД Рязань'!S$5)),'ФАСАД Юрга'!R85*(1-'ФАСАД Рязань'!$V$5-'ФАСАД Рязань'!V85)+IFERROR(SEARCH("комп",J85)/SEARCH("комп",J85)*'ФАСАД Рязань'!$R$5,'ФАСАД Рязань'!S$5)),"нет")</f>
        <v>4018</v>
      </c>
      <c r="T85" s="101">
        <f t="shared" si="16"/>
        <v>281.26</v>
      </c>
      <c r="U85" s="1221"/>
      <c r="V85" s="1229"/>
      <c r="W85" s="1221"/>
      <c r="X85" s="1154"/>
      <c r="Y85" s="1155"/>
      <c r="Z85" s="1156"/>
      <c r="AA85" s="1157"/>
      <c r="AB85" s="991"/>
      <c r="AC85" s="991"/>
      <c r="AD85" s="1022"/>
      <c r="AE85" s="1104"/>
      <c r="AF85" s="82"/>
      <c r="AG85" s="2"/>
    </row>
    <row r="86" spans="1:33" ht="20.100000000000001" customHeight="1" thickBot="1" x14ac:dyDescent="0.3">
      <c r="A86" s="762"/>
      <c r="B86" s="203">
        <v>1200</v>
      </c>
      <c r="C86" s="204">
        <v>600</v>
      </c>
      <c r="D86" s="209">
        <v>80</v>
      </c>
      <c r="E86" s="263"/>
      <c r="F86" s="263">
        <v>0</v>
      </c>
      <c r="G86" s="310" t="s">
        <v>489</v>
      </c>
      <c r="H86" s="604" t="str">
        <f>IF(OR('ФАСАД Рязань'!$T$6="Завод 'ТЕХНО' г.Рязань",'ФАСАД Рязань'!$T$6="Завод 'ТЕХНО' г.Заинск"),'ФАСАД Рязань'!E86,'ФАСАД Юрга'!E86)</f>
        <v>C</v>
      </c>
      <c r="I86" s="1181">
        <f>IF(OR('ФАСАД Рязань'!$T$6="Завод 'ТЕХНО' г.Рязань",'ФАСАД Рязань'!$T$6="Завод 'ТЕХНО' г.Заинск"),'ФАСАД Рязань'!I86,'ФАСАД Юрга'!I86)</f>
        <v>117.50400000000002</v>
      </c>
      <c r="J86" s="177"/>
      <c r="K86" s="274">
        <v>3</v>
      </c>
      <c r="L86" s="166">
        <f t="shared" si="7"/>
        <v>2.16</v>
      </c>
      <c r="M86" s="169">
        <f t="shared" si="8"/>
        <v>0.17280000000000001</v>
      </c>
      <c r="N86" s="97">
        <v>40</v>
      </c>
      <c r="O86" s="126">
        <f t="shared" si="17"/>
        <v>6.9120000000000008</v>
      </c>
      <c r="P86" s="231">
        <f t="shared" si="18"/>
        <v>76.032000000000011</v>
      </c>
      <c r="Q86" s="266"/>
      <c r="R86" s="88">
        <f t="shared" si="15"/>
        <v>694.31040000000007</v>
      </c>
      <c r="S86" s="786">
        <f>IFERROR(IF(OR('ФАСАД Рязань'!$T$6="Завод 'ТЕХНО' г.Рязань",'ФАСАД Рязань'!$T$6="Завод 'ТЕХНО' г.Заинск"),IF('ФАСАД Рязань'!$T$6="Завод 'ТЕХНО' г.Рязань",'ФАСАД Рязань'!R86*(1-'ФАСАД Рязань'!$V$5-'ФАСАД Рязань'!V86)+IFERROR(SEARCH("комп",J86)/SEARCH("комп",J86)*'ФАСАД Рязань'!$R$5,'ФАСАД Рязань'!S$5),'ФАСАД Заинск'!R86*(1-'ФАСАД Рязань'!$V$5-'ФАСАД Рязань'!V86)+IFERROR(SEARCH("комп",J86)/SEARCH("комп",J86)*'ФАСАД Рязань'!$R$5,'ФАСАД Рязань'!S$5)),'ФАСАД Юрга'!R86*(1-'ФАСАД Рязань'!$V$5-'ФАСАД Рязань'!V86)+IFERROR(SEARCH("комп",J86)/SEARCH("комп",J86)*'ФАСАД Рязань'!$R$5,'ФАСАД Рязань'!S$5)),"нет")</f>
        <v>4018</v>
      </c>
      <c r="T86" s="101">
        <f t="shared" si="16"/>
        <v>321.44</v>
      </c>
      <c r="U86" s="1221"/>
      <c r="V86" s="1229"/>
      <c r="W86" s="1221"/>
      <c r="X86" s="1154"/>
      <c r="Y86" s="1155"/>
      <c r="Z86" s="1156"/>
      <c r="AA86" s="1157"/>
      <c r="AB86" s="991"/>
      <c r="AC86" s="991"/>
      <c r="AD86" s="1022"/>
      <c r="AE86" s="1104"/>
      <c r="AF86" s="82"/>
      <c r="AG86" s="2"/>
    </row>
    <row r="87" spans="1:33" ht="20.100000000000001" customHeight="1" thickBot="1" x14ac:dyDescent="0.3">
      <c r="A87" s="762"/>
      <c r="B87" s="203">
        <v>1200</v>
      </c>
      <c r="C87" s="204">
        <v>600</v>
      </c>
      <c r="D87" s="209">
        <v>90</v>
      </c>
      <c r="E87" s="263">
        <v>71.428571428571431</v>
      </c>
      <c r="F87" s="263">
        <v>11.482216343327455</v>
      </c>
      <c r="G87" s="310" t="s">
        <v>490</v>
      </c>
      <c r="H87" s="604" t="str">
        <f>IF(OR('ФАСАД Рязань'!$T$6="Завод 'ТЕХНО' г.Рязань",'ФАСАД Рязань'!$T$6="Завод 'ТЕХНО' г.Заинск"),'ФАСАД Рязань'!E87,'ФАСАД Юрга'!E87)</f>
        <v>C</v>
      </c>
      <c r="I87" s="1181">
        <f>IF(OR('ФАСАД Рязань'!$T$6="Завод 'ТЕХНО' г.Рязань",'ФАСАД Рязань'!$T$6="Завод 'ТЕХНО' г.Заинск"),'ФАСАД Рязань'!I87,'ФАСАД Юрга'!I87)</f>
        <v>111.9744</v>
      </c>
      <c r="J87" s="177">
        <v>205.28639999999999</v>
      </c>
      <c r="K87" s="274">
        <v>3</v>
      </c>
      <c r="L87" s="166">
        <f t="shared" si="7"/>
        <v>2.16</v>
      </c>
      <c r="M87" s="169">
        <f t="shared" si="8"/>
        <v>0.19440000000000002</v>
      </c>
      <c r="N87" s="97">
        <v>32</v>
      </c>
      <c r="O87" s="126">
        <f t="shared" si="17"/>
        <v>6.2208000000000006</v>
      </c>
      <c r="P87" s="231">
        <f t="shared" si="18"/>
        <v>68.42880000000001</v>
      </c>
      <c r="Q87" s="266"/>
      <c r="R87" s="88">
        <f t="shared" si="15"/>
        <v>781.09920000000011</v>
      </c>
      <c r="S87" s="786">
        <f>IFERROR(IF(OR('ФАСАД Рязань'!$T$6="Завод 'ТЕХНО' г.Рязань",'ФАСАД Рязань'!$T$6="Завод 'ТЕХНО' г.Заинск"),IF('ФАСАД Рязань'!$T$6="Завод 'ТЕХНО' г.Рязань",'ФАСАД Рязань'!R87*(1-'ФАСАД Рязань'!$V$5-'ФАСАД Рязань'!V87)+IFERROR(SEARCH("комп",J87)/SEARCH("комп",J87)*'ФАСАД Рязань'!$R$5,'ФАСАД Рязань'!S$5),'ФАСАД Заинск'!R87*(1-'ФАСАД Рязань'!$V$5-'ФАСАД Рязань'!V87)+IFERROR(SEARCH("комп",J87)/SEARCH("комп",J87)*'ФАСАД Рязань'!$R$5,'ФАСАД Рязань'!S$5)),'ФАСАД Юрга'!R87*(1-'ФАСАД Рязань'!$V$5-'ФАСАД Рязань'!V87)+IFERROR(SEARCH("комп",J87)/SEARCH("комп",J87)*'ФАСАД Рязань'!$R$5,'ФАСАД Рязань'!S$5)),"нет")</f>
        <v>4018</v>
      </c>
      <c r="T87" s="101">
        <f t="shared" si="16"/>
        <v>361.62</v>
      </c>
      <c r="U87" s="1221"/>
      <c r="V87" s="1229"/>
      <c r="W87" s="1221"/>
      <c r="X87" s="1154"/>
      <c r="Y87" s="1155"/>
      <c r="Z87" s="1156"/>
      <c r="AA87" s="1157"/>
      <c r="AB87" s="991"/>
      <c r="AC87" s="991"/>
      <c r="AD87" s="1022"/>
      <c r="AE87" s="746"/>
      <c r="AF87" s="82"/>
      <c r="AG87" s="2"/>
    </row>
    <row r="88" spans="1:33" ht="19.5" customHeight="1" thickBot="1" x14ac:dyDescent="0.3">
      <c r="A88" s="762"/>
      <c r="B88" s="203">
        <v>1200</v>
      </c>
      <c r="C88" s="204">
        <v>600</v>
      </c>
      <c r="D88" s="209">
        <v>100</v>
      </c>
      <c r="E88" s="263"/>
      <c r="F88" s="263">
        <v>0</v>
      </c>
      <c r="G88" s="310" t="s">
        <v>491</v>
      </c>
      <c r="H88" s="604" t="str">
        <f>IF(OR('ФАСАД Рязань'!$T$6="Завод 'ТЕХНО' г.Рязань",'ФАСАД Рязань'!$T$6="Завод 'ТЕХНО' г.Заинск"),'ФАСАД Рязань'!E88,'ФАСАД Юрга'!E88)</f>
        <v>C</v>
      </c>
      <c r="I88" s="1181">
        <f>IF(OR('ФАСАД Рязань'!$T$6="Завод 'ТЕХНО' г.Рязань",'ФАСАД Рязань'!$T$6="Завод 'ТЕХНО' г.Заинск"),'ФАСАД Рязань'!I88,'ФАСАД Юрга'!I88)</f>
        <v>117.504</v>
      </c>
      <c r="J88" s="177"/>
      <c r="K88" s="97">
        <v>3</v>
      </c>
      <c r="L88" s="166">
        <f t="shared" si="7"/>
        <v>2.16</v>
      </c>
      <c r="M88" s="169">
        <f t="shared" si="8"/>
        <v>0.216</v>
      </c>
      <c r="N88" s="97">
        <v>32</v>
      </c>
      <c r="O88" s="126">
        <f t="shared" si="17"/>
        <v>6.9119999999999999</v>
      </c>
      <c r="P88" s="231">
        <f t="shared" si="18"/>
        <v>76.031999999999996</v>
      </c>
      <c r="Q88" s="266"/>
      <c r="R88" s="88">
        <f t="shared" si="15"/>
        <v>867.88800000000003</v>
      </c>
      <c r="S88" s="786">
        <f>IFERROR(IF(OR('ФАСАД Рязань'!$T$6="Завод 'ТЕХНО' г.Рязань",'ФАСАД Рязань'!$T$6="Завод 'ТЕХНО' г.Заинск"),IF('ФАСАД Рязань'!$T$6="Завод 'ТЕХНО' г.Рязань",'ФАСАД Рязань'!R88*(1-'ФАСАД Рязань'!$V$5-'ФАСАД Рязань'!V88)+IFERROR(SEARCH("комп",J88)/SEARCH("комп",J88)*'ФАСАД Рязань'!$R$5,'ФАСАД Рязань'!S$5),'ФАСАД Заинск'!R88*(1-'ФАСАД Рязань'!$V$5-'ФАСАД Рязань'!V88)+IFERROR(SEARCH("комп",J88)/SEARCH("комп",J88)*'ФАСАД Рязань'!$R$5,'ФАСАД Рязань'!S$5)),'ФАСАД Юрга'!R88*(1-'ФАСАД Рязань'!$V$5-'ФАСАД Рязань'!V88)+IFERROR(SEARCH("комп",J88)/SEARCH("комп",J88)*'ФАСАД Рязань'!$R$5,'ФАСАД Рязань'!S$5)),"нет")</f>
        <v>4018</v>
      </c>
      <c r="T88" s="101">
        <f t="shared" si="16"/>
        <v>401.8</v>
      </c>
      <c r="U88" s="1221"/>
      <c r="V88" s="1229"/>
      <c r="W88" s="1221"/>
      <c r="X88" s="1154"/>
      <c r="Y88" s="1155"/>
      <c r="Z88" s="1156"/>
      <c r="AA88" s="1157"/>
      <c r="AB88" s="991"/>
      <c r="AC88" s="991"/>
      <c r="AD88" s="1022"/>
      <c r="AE88" s="1104"/>
      <c r="AF88" s="82"/>
      <c r="AG88" s="2"/>
    </row>
    <row r="89" spans="1:33" ht="19.5" customHeight="1" thickBot="1" x14ac:dyDescent="0.3">
      <c r="A89" s="762"/>
      <c r="B89" s="203">
        <v>1200</v>
      </c>
      <c r="C89" s="204">
        <v>600</v>
      </c>
      <c r="D89" s="209">
        <v>110</v>
      </c>
      <c r="E89" s="263">
        <v>74.074074074074076</v>
      </c>
      <c r="F89" s="263">
        <v>11.690983913206136</v>
      </c>
      <c r="G89" s="310" t="s">
        <v>492</v>
      </c>
      <c r="H89" s="604" t="str">
        <f>IF(OR('ФАСАД Рязань'!$T$6="Завод 'ТЕХНО' г.Рязань",'ФАСАД Рязань'!$T$6="Завод 'ТЕХНО' г.Заинск"),'ФАСАД Рязань'!E89,'ФАСАД Юрга'!E89)</f>
        <v>C</v>
      </c>
      <c r="I89" s="1181">
        <f>IF(OR('ФАСАД Рязань'!$T$6="Завод 'ТЕХНО' г.Рязань",'ФАСАД Рязань'!$T$6="Завод 'ТЕХНО' г.Заинск"),'ФАСАД Рязань'!I89,'ФАСАД Юрга'!I89)</f>
        <v>114.048</v>
      </c>
      <c r="J89" s="177">
        <v>228.09600000000003</v>
      </c>
      <c r="K89" s="97">
        <v>2</v>
      </c>
      <c r="L89" s="166">
        <f t="shared" si="7"/>
        <v>1.44</v>
      </c>
      <c r="M89" s="169">
        <f t="shared" si="8"/>
        <v>0.15840000000000001</v>
      </c>
      <c r="N89" s="97">
        <v>40</v>
      </c>
      <c r="O89" s="126">
        <f t="shared" si="17"/>
        <v>6.3360000000000003</v>
      </c>
      <c r="P89" s="231">
        <f t="shared" si="18"/>
        <v>69.695999999999998</v>
      </c>
      <c r="Q89" s="266"/>
      <c r="R89" s="88">
        <f t="shared" si="15"/>
        <v>636.45120000000009</v>
      </c>
      <c r="S89" s="786">
        <f>IFERROR(IF(OR('ФАСАД Рязань'!$T$6="Завод 'ТЕХНО' г.Рязань",'ФАСАД Рязань'!$T$6="Завод 'ТЕХНО' г.Заинск"),IF('ФАСАД Рязань'!$T$6="Завод 'ТЕХНО' г.Рязань",'ФАСАД Рязань'!R89*(1-'ФАСАД Рязань'!$V$5-'ФАСАД Рязань'!V89)+IFERROR(SEARCH("комп",J89)/SEARCH("комп",J89)*'ФАСАД Рязань'!$R$5,'ФАСАД Рязань'!S$5),'ФАСАД Заинск'!R89*(1-'ФАСАД Рязань'!$V$5-'ФАСАД Рязань'!V89)+IFERROR(SEARCH("комп",J89)/SEARCH("комп",J89)*'ФАСАД Рязань'!$R$5,'ФАСАД Рязань'!S$5)),'ФАСАД Юрга'!R89*(1-'ФАСАД Рязань'!$V$5-'ФАСАД Рязань'!V89)+IFERROR(SEARCH("комп",J89)/SEARCH("комп",J89)*'ФАСАД Рязань'!$R$5,'ФАСАД Рязань'!S$5)),"нет")</f>
        <v>4018</v>
      </c>
      <c r="T89" s="101">
        <f t="shared" si="16"/>
        <v>441.98</v>
      </c>
      <c r="U89" s="1221"/>
      <c r="V89" s="1229"/>
      <c r="W89" s="1221"/>
      <c r="X89" s="1154"/>
      <c r="Y89" s="1155"/>
      <c r="Z89" s="1156"/>
      <c r="AA89" s="1157"/>
      <c r="AB89" s="991"/>
      <c r="AC89" s="991"/>
      <c r="AD89" s="1022"/>
      <c r="AE89" s="746"/>
      <c r="AF89" s="82"/>
      <c r="AG89" s="2"/>
    </row>
    <row r="90" spans="1:33" ht="20.100000000000001" customHeight="1" thickBot="1" x14ac:dyDescent="0.3">
      <c r="A90" s="762"/>
      <c r="B90" s="203">
        <v>1200</v>
      </c>
      <c r="C90" s="204">
        <v>600</v>
      </c>
      <c r="D90" s="209">
        <v>120</v>
      </c>
      <c r="E90" s="263"/>
      <c r="F90" s="263">
        <v>0</v>
      </c>
      <c r="G90" s="310" t="s">
        <v>493</v>
      </c>
      <c r="H90" s="604" t="str">
        <f>IF(OR('ФАСАД Рязань'!$T$6="Завод 'ТЕХНО' г.Рязань",'ФАСАД Рязань'!$T$6="Завод 'ТЕХНО' г.Заинск"),'ФАСАД Рязань'!E90,'ФАСАД Юрга'!E90)</f>
        <v>C</v>
      </c>
      <c r="I90" s="1181">
        <f>IF(OR('ФАСАД Рязань'!$T$6="Завод 'ТЕХНО' г.Рязань",'ФАСАД Рязань'!$T$6="Завод 'ТЕХНО' г.Заинск"),'ФАСАД Рязань'!I90,'ФАСАД Юрга'!I90)</f>
        <v>117.50399999999999</v>
      </c>
      <c r="J90" s="177">
        <v>248.83200000000005</v>
      </c>
      <c r="K90" s="97">
        <v>2</v>
      </c>
      <c r="L90" s="166">
        <f t="shared" si="7"/>
        <v>1.44</v>
      </c>
      <c r="M90" s="169">
        <f t="shared" si="8"/>
        <v>0.17279999999999998</v>
      </c>
      <c r="N90" s="97">
        <v>40</v>
      </c>
      <c r="O90" s="126">
        <f t="shared" si="17"/>
        <v>6.911999999999999</v>
      </c>
      <c r="P90" s="231">
        <f t="shared" si="18"/>
        <v>76.031999999999982</v>
      </c>
      <c r="Q90" s="266"/>
      <c r="R90" s="88">
        <f t="shared" si="15"/>
        <v>694.31039999999996</v>
      </c>
      <c r="S90" s="786">
        <f>IFERROR(IF(OR('ФАСАД Рязань'!$T$6="Завод 'ТЕХНО' г.Рязань",'ФАСАД Рязань'!$T$6="Завод 'ТЕХНО' г.Заинск"),IF('ФАСАД Рязань'!$T$6="Завод 'ТЕХНО' г.Рязань",'ФАСАД Рязань'!R90*(1-'ФАСАД Рязань'!$V$5-'ФАСАД Рязань'!V90)+IFERROR(SEARCH("комп",J90)/SEARCH("комп",J90)*'ФАСАД Рязань'!$R$5,'ФАСАД Рязань'!S$5),'ФАСАД Заинск'!R90*(1-'ФАСАД Рязань'!$V$5-'ФАСАД Рязань'!V90)+IFERROR(SEARCH("комп",J90)/SEARCH("комп",J90)*'ФАСАД Рязань'!$R$5,'ФАСАД Рязань'!S$5)),'ФАСАД Юрга'!R90*(1-'ФАСАД Рязань'!$V$5-'ФАСАД Рязань'!V90)+IFERROR(SEARCH("комп",J90)/SEARCH("комп",J90)*'ФАСАД Рязань'!$R$5,'ФАСАД Рязань'!S$5)),"нет")</f>
        <v>4018</v>
      </c>
      <c r="T90" s="101">
        <f t="shared" si="16"/>
        <v>482.16</v>
      </c>
      <c r="U90" s="1221"/>
      <c r="V90" s="1229"/>
      <c r="W90" s="1221"/>
      <c r="X90" s="1154"/>
      <c r="Y90" s="1155"/>
      <c r="Z90" s="1156"/>
      <c r="AA90" s="1157"/>
      <c r="AB90" s="991"/>
      <c r="AC90" s="991"/>
      <c r="AD90" s="1022"/>
      <c r="AE90" s="1104"/>
      <c r="AF90" s="82"/>
      <c r="AG90" s="2"/>
    </row>
    <row r="91" spans="1:33" ht="20.100000000000001" customHeight="1" thickBot="1" x14ac:dyDescent="0.3">
      <c r="A91" s="762"/>
      <c r="B91" s="203">
        <v>1200</v>
      </c>
      <c r="C91" s="204">
        <v>600</v>
      </c>
      <c r="D91" s="209">
        <v>130</v>
      </c>
      <c r="E91" s="263">
        <v>74.074074074074076</v>
      </c>
      <c r="F91" s="263">
        <v>10.991523337202349</v>
      </c>
      <c r="G91" s="310" t="s">
        <v>494</v>
      </c>
      <c r="H91" s="604" t="str">
        <f>IF(OR('ФАСАД Рязань'!$T$6="Завод 'ТЕХНО' г.Рязань",'ФАСАД Рязань'!$T$6="Завод 'ТЕХНО' г.Заинск"),'ФАСАД Рязань'!E91,'ФАСАД Юрга'!E91)</f>
        <v>C</v>
      </c>
      <c r="I91" s="1181">
        <f>IF(OR('ФАСАД Рязань'!$T$6="Завод 'ТЕХНО' г.Рязань",'ФАСАД Рязань'!$T$6="Завод 'ТЕХНО' г.Заинск"),'ФАСАД Рязань'!I91,'ФАСАД Юрга'!I91)</f>
        <v>114.56639999999999</v>
      </c>
      <c r="J91" s="177">
        <v>222.39360000000002</v>
      </c>
      <c r="K91" s="97">
        <v>2</v>
      </c>
      <c r="L91" s="166">
        <f t="shared" si="7"/>
        <v>1.44</v>
      </c>
      <c r="M91" s="169">
        <f t="shared" si="8"/>
        <v>0.18719999999999998</v>
      </c>
      <c r="N91" s="97">
        <v>36</v>
      </c>
      <c r="O91" s="126">
        <f t="shared" si="17"/>
        <v>6.7391999999999994</v>
      </c>
      <c r="P91" s="231">
        <f t="shared" si="18"/>
        <v>74.131199999999993</v>
      </c>
      <c r="Q91" s="266"/>
      <c r="R91" s="88">
        <f t="shared" si="15"/>
        <v>752.16959999999995</v>
      </c>
      <c r="S91" s="786">
        <f>IFERROR(IF(OR('ФАСАД Рязань'!$T$6="Завод 'ТЕХНО' г.Рязань",'ФАСАД Рязань'!$T$6="Завод 'ТЕХНО' г.Заинск"),IF('ФАСАД Рязань'!$T$6="Завод 'ТЕХНО' г.Рязань",'ФАСАД Рязань'!R91*(1-'ФАСАД Рязань'!$V$5-'ФАСАД Рязань'!V91)+IFERROR(SEARCH("комп",J91)/SEARCH("комп",J91)*'ФАСАД Рязань'!$R$5,'ФАСАД Рязань'!S$5),'ФАСАД Заинск'!R91*(1-'ФАСАД Рязань'!$V$5-'ФАСАД Рязань'!V91)+IFERROR(SEARCH("комп",J91)/SEARCH("комп",J91)*'ФАСАД Рязань'!$R$5,'ФАСАД Рязань'!S$5)),'ФАСАД Юрга'!R91*(1-'ФАСАД Рязань'!$V$5-'ФАСАД Рязань'!V91)+IFERROR(SEARCH("комп",J91)/SEARCH("комп",J91)*'ФАСАД Рязань'!$R$5,'ФАСАД Рязань'!S$5)),"нет")</f>
        <v>4018</v>
      </c>
      <c r="T91" s="101">
        <f t="shared" si="16"/>
        <v>522.34</v>
      </c>
      <c r="U91" s="1221"/>
      <c r="V91" s="1229"/>
      <c r="W91" s="1221"/>
      <c r="X91" s="1154"/>
      <c r="Y91" s="1155"/>
      <c r="Z91" s="1156"/>
      <c r="AA91" s="1157"/>
      <c r="AB91" s="991"/>
      <c r="AC91" s="991"/>
      <c r="AD91" s="1022"/>
      <c r="AE91" s="1104"/>
      <c r="AF91" s="82"/>
      <c r="AG91" s="2"/>
    </row>
    <row r="92" spans="1:33" ht="20.100000000000001" customHeight="1" thickBot="1" x14ac:dyDescent="0.3">
      <c r="A92" s="762"/>
      <c r="B92" s="12">
        <v>1200</v>
      </c>
      <c r="C92" s="13">
        <v>600</v>
      </c>
      <c r="D92" s="14">
        <v>140</v>
      </c>
      <c r="E92" s="107">
        <v>74.074074074074076</v>
      </c>
      <c r="F92" s="116">
        <v>11.482216343327455</v>
      </c>
      <c r="G92" s="310" t="s">
        <v>495</v>
      </c>
      <c r="H92" s="604" t="str">
        <f>IF(OR('ФАСАД Рязань'!$T$6="Завод 'ТЕХНО' г.Рязань",'ФАСАД Рязань'!$T$6="Завод 'ТЕХНО' г.Заинск"),'ФАСАД Рязань'!E92,'ФАСАД Юрга'!E92)</f>
        <v>C</v>
      </c>
      <c r="I92" s="1181">
        <f>IF(OR('ФАСАД Рязань'!$T$6="Завод 'ТЕХНО' г.Рязань",'ФАСАД Рязань'!$T$6="Завод 'ТЕХНО' г.Заинск"),'ФАСАД Рязань'!I92,'ФАСАД Юрга'!I92)</f>
        <v>116.1216</v>
      </c>
      <c r="J92" s="177">
        <v>212.8896</v>
      </c>
      <c r="K92" s="47">
        <v>2</v>
      </c>
      <c r="L92" s="166">
        <f t="shared" ref="L92" si="23">B92*C92*K92/1000000</f>
        <v>1.44</v>
      </c>
      <c r="M92" s="169">
        <f t="shared" ref="M92" si="24">D92*L92/1000</f>
        <v>0.2016</v>
      </c>
      <c r="N92" s="47">
        <v>32</v>
      </c>
      <c r="O92" s="126">
        <f t="shared" si="17"/>
        <v>6.4512</v>
      </c>
      <c r="P92" s="231">
        <f t="shared" si="18"/>
        <v>70.963200000000001</v>
      </c>
      <c r="Q92" s="48"/>
      <c r="R92" s="88">
        <f t="shared" si="15"/>
        <v>810.02880000000005</v>
      </c>
      <c r="S92" s="786">
        <f>IFERROR(IF(OR('ФАСАД Рязань'!$T$6="Завод 'ТЕХНО' г.Рязань",'ФАСАД Рязань'!$T$6="Завод 'ТЕХНО' г.Заинск"),IF('ФАСАД Рязань'!$T$6="Завод 'ТЕХНО' г.Рязань",'ФАСАД Рязань'!R92*(1-'ФАСАД Рязань'!$V$5-'ФАСАД Рязань'!V92)+IFERROR(SEARCH("комп",J92)/SEARCH("комп",J92)*'ФАСАД Рязань'!$R$5,'ФАСАД Рязань'!S$5),'ФАСАД Заинск'!R92*(1-'ФАСАД Рязань'!$V$5-'ФАСАД Рязань'!V92)+IFERROR(SEARCH("комп",J92)/SEARCH("комп",J92)*'ФАСАД Рязань'!$R$5,'ФАСАД Рязань'!S$5)),'ФАСАД Юрга'!R92*(1-'ФАСАД Рязань'!$V$5-'ФАСАД Рязань'!V92)+IFERROR(SEARCH("комп",J92)/SEARCH("комп",J92)*'ФАСАД Рязань'!$R$5,'ФАСАД Рязань'!S$5)),"нет")</f>
        <v>4018</v>
      </c>
      <c r="T92" s="101">
        <f t="shared" si="16"/>
        <v>562.52</v>
      </c>
      <c r="U92" s="1221"/>
      <c r="V92" s="1229"/>
      <c r="W92" s="1221"/>
      <c r="X92" s="1154"/>
      <c r="Y92" s="1155"/>
      <c r="Z92" s="1156"/>
      <c r="AA92" s="1157"/>
      <c r="AB92" s="991"/>
      <c r="AC92" s="991"/>
      <c r="AD92" s="1022"/>
      <c r="AE92" s="746"/>
      <c r="AF92" s="82"/>
      <c r="AG92" s="2"/>
    </row>
    <row r="93" spans="1:33" ht="20.100000000000001" customHeight="1" thickBot="1" x14ac:dyDescent="0.3">
      <c r="A93" s="1193"/>
      <c r="B93" s="15">
        <v>1200</v>
      </c>
      <c r="C93" s="16">
        <v>600</v>
      </c>
      <c r="D93" s="17">
        <v>150</v>
      </c>
      <c r="E93" s="108">
        <v>74.074074074074076</v>
      </c>
      <c r="F93" s="444">
        <v>10.716735253772292</v>
      </c>
      <c r="G93" s="296" t="s">
        <v>496</v>
      </c>
      <c r="H93" s="605" t="str">
        <f>IF(OR('ФАСАД Рязань'!$T$6="Завод 'ТЕХНО' г.Рязань",'ФАСАД Рязань'!$T$6="Завод 'ТЕХНО' г.Заинск"),'ФАСАД Рязань'!E93,'ФАСАД Юрга'!E93)</f>
        <v>C</v>
      </c>
      <c r="I93" s="1182">
        <f>IF(OR('ФАСАД Рязань'!$T$6="Завод 'ТЕХНО' г.Рязань",'ФАСАД Рязань'!$T$6="Завод 'ТЕХНО' г.Заинск"),'ФАСАД Рязань'!I93,'ФАСАД Юрга'!I93)</f>
        <v>117.504</v>
      </c>
      <c r="J93" s="455">
        <v>228.096</v>
      </c>
      <c r="K93" s="49">
        <v>2</v>
      </c>
      <c r="L93" s="167">
        <f>B93*C93*K93/1000000</f>
        <v>1.44</v>
      </c>
      <c r="M93" s="129">
        <f>D93*L93/1000</f>
        <v>0.216</v>
      </c>
      <c r="N93" s="49">
        <v>32</v>
      </c>
      <c r="O93" s="129">
        <f t="shared" ref="O93" si="25">M93*N93</f>
        <v>6.9119999999999999</v>
      </c>
      <c r="P93" s="616">
        <f t="shared" ref="P93" si="26">O93*11</f>
        <v>76.031999999999996</v>
      </c>
      <c r="Q93" s="50"/>
      <c r="R93" s="479">
        <f t="shared" si="15"/>
        <v>867.88800000000003</v>
      </c>
      <c r="S93" s="787">
        <f>IFERROR(IF(OR('ФАСАД Рязань'!$T$6="Завод 'ТЕХНО' г.Рязань",'ФАСАД Рязань'!$T$6="Завод 'ТЕХНО' г.Заинск"),IF('ФАСАД Рязань'!$T$6="Завод 'ТЕХНО' г.Рязань",'ФАСАД Рязань'!R93*(1-'ФАСАД Рязань'!$V$5-'ФАСАД Рязань'!V93)+IFERROR(SEARCH("комп",J93)/SEARCH("комп",J93)*'ФАСАД Рязань'!$R$5,'ФАСАД Рязань'!S$5),'ФАСАД Заинск'!R93*(1-'ФАСАД Рязань'!$V$5-'ФАСАД Рязань'!V93)+IFERROR(SEARCH("комп",J93)/SEARCH("комп",J93)*'ФАСАД Рязань'!$R$5,'ФАСАД Рязань'!S$5)),'ФАСАД Юрга'!R93*(1-'ФАСАД Рязань'!$V$5-'ФАСАД Рязань'!V93)+IFERROR(SEARCH("комп",J93)/SEARCH("комп",J93)*'ФАСАД Рязань'!$R$5,'ФАСАД Рязань'!S$5)),"нет")</f>
        <v>4018</v>
      </c>
      <c r="T93" s="102">
        <f t="shared" si="16"/>
        <v>602.70000000000005</v>
      </c>
      <c r="U93" s="1221"/>
      <c r="V93" s="1229"/>
      <c r="W93" s="1221"/>
      <c r="X93" s="1154"/>
      <c r="Y93" s="1155"/>
      <c r="Z93" s="1156"/>
      <c r="AA93" s="1157"/>
      <c r="AB93" s="991"/>
      <c r="AC93" s="991"/>
      <c r="AD93" s="1022"/>
      <c r="AE93" s="1104"/>
      <c r="AF93" s="82"/>
      <c r="AG93" s="2"/>
    </row>
    <row r="94" spans="1:33" ht="20.100000000000001" customHeight="1" x14ac:dyDescent="0.25">
      <c r="A94" s="20"/>
      <c r="B94" s="20"/>
      <c r="J94" s="138"/>
    </row>
    <row r="95" spans="1:33" ht="18.75" customHeight="1" x14ac:dyDescent="0.25">
      <c r="A95" s="1" t="s">
        <v>7</v>
      </c>
      <c r="E95" s="2"/>
      <c r="F95" s="2"/>
      <c r="G95" s="2"/>
      <c r="H95" s="2"/>
      <c r="I95" s="2"/>
      <c r="J95" s="134"/>
      <c r="P95" s="1275"/>
      <c r="Q95" s="1275"/>
      <c r="R95" s="1275"/>
      <c r="S95" s="1275"/>
      <c r="T95" s="1275"/>
      <c r="X95" s="924"/>
      <c r="Y95" s="924"/>
      <c r="Z95" s="1082"/>
      <c r="AA95" s="1082"/>
      <c r="AB95" s="1082"/>
      <c r="AC95" s="1082"/>
      <c r="AD95" s="1034"/>
      <c r="AE95" s="953"/>
      <c r="AF95" s="2"/>
      <c r="AG95" s="2"/>
    </row>
    <row r="96" spans="1:33" s="32" customFormat="1" ht="20.100000000000001" customHeight="1" x14ac:dyDescent="0.25">
      <c r="A96" s="471" t="s">
        <v>423</v>
      </c>
      <c r="K96" s="33"/>
      <c r="M96" s="34"/>
      <c r="N96" s="33"/>
      <c r="O96" s="59"/>
      <c r="P96" s="1244"/>
      <c r="Q96" s="1244"/>
      <c r="R96" s="1244"/>
      <c r="S96" s="1244"/>
      <c r="T96" s="1244"/>
      <c r="X96" s="920"/>
      <c r="Y96" s="920"/>
      <c r="Z96" s="1080"/>
      <c r="AA96" s="1080"/>
      <c r="AB96" s="1080"/>
      <c r="AC96" s="1080"/>
      <c r="AD96" s="1027"/>
      <c r="AE96" s="953"/>
    </row>
    <row r="97" spans="1:33" ht="20.100000000000001" customHeight="1" x14ac:dyDescent="0.25">
      <c r="A97" s="26" t="s">
        <v>438</v>
      </c>
      <c r="E97" s="2"/>
      <c r="F97" s="2"/>
      <c r="G97" s="2"/>
      <c r="H97" s="2"/>
      <c r="I97" s="2"/>
      <c r="J97" s="2"/>
      <c r="P97" s="1244"/>
      <c r="Q97" s="1244"/>
      <c r="R97" s="1244"/>
      <c r="S97" s="1244"/>
      <c r="T97" s="1244"/>
      <c r="X97" s="920"/>
      <c r="Y97" s="920"/>
      <c r="Z97" s="1080"/>
      <c r="AA97" s="1080"/>
      <c r="AB97" s="1080"/>
      <c r="AC97" s="1080"/>
      <c r="AD97" s="1027"/>
      <c r="AE97" s="953"/>
      <c r="AF97" s="2"/>
      <c r="AG97" s="2"/>
    </row>
    <row r="98" spans="1:33" ht="20.100000000000001" customHeight="1" x14ac:dyDescent="0.25">
      <c r="A98" s="26" t="s">
        <v>24</v>
      </c>
      <c r="E98" s="2"/>
      <c r="F98" s="2"/>
      <c r="G98" s="2"/>
      <c r="H98" s="2"/>
      <c r="I98" s="2"/>
      <c r="J98" s="2"/>
      <c r="P98" s="1245"/>
      <c r="Q98" s="1245"/>
      <c r="R98" s="1245"/>
      <c r="S98" s="1245"/>
      <c r="T98" s="1245"/>
      <c r="X98" s="921"/>
      <c r="Y98" s="921"/>
      <c r="Z98" s="1081"/>
      <c r="AA98" s="1081"/>
      <c r="AB98" s="1081"/>
      <c r="AC98" s="1081"/>
      <c r="AD98" s="1028"/>
      <c r="AE98" s="953"/>
      <c r="AF98" s="2"/>
      <c r="AG98" s="2"/>
    </row>
    <row r="99" spans="1:33" ht="20.100000000000001" customHeight="1" x14ac:dyDescent="0.25">
      <c r="A99" s="26" t="s">
        <v>52</v>
      </c>
      <c r="E99" s="2"/>
      <c r="F99" s="2"/>
      <c r="G99" s="2"/>
      <c r="H99" s="2"/>
      <c r="I99" s="2"/>
      <c r="J99" s="2"/>
      <c r="R99" s="1245"/>
      <c r="S99" s="1245"/>
      <c r="T99" s="1245"/>
      <c r="X99" s="921"/>
      <c r="Y99" s="921"/>
      <c r="Z99" s="1081"/>
      <c r="AA99" s="1081"/>
      <c r="AB99" s="1081"/>
      <c r="AC99" s="1081"/>
      <c r="AD99" s="1028"/>
      <c r="AE99" s="953"/>
      <c r="AF99" s="2"/>
      <c r="AG99" s="2"/>
    </row>
    <row r="100" spans="1:33" ht="20.100000000000001" customHeight="1" x14ac:dyDescent="0.25">
      <c r="A100" s="30" t="s">
        <v>541</v>
      </c>
      <c r="E100" s="2"/>
      <c r="F100" s="4"/>
      <c r="G100" s="2"/>
      <c r="H100" s="2"/>
      <c r="I100" s="2"/>
      <c r="J100" s="5"/>
      <c r="L100" s="56"/>
      <c r="AE100" s="953"/>
      <c r="AF100" s="2"/>
      <c r="AG100" s="2"/>
    </row>
    <row r="101" spans="1:33" ht="20.100000000000001" customHeight="1" x14ac:dyDescent="0.25">
      <c r="A101" s="30" t="str">
        <f>'Лайт+АКУСТИК DDP'!A78</f>
        <v>Б - отгрузка в течение 3 дней (заявки принимаются в любом количестве, кратно пачке).</v>
      </c>
      <c r="E101" s="2"/>
      <c r="F101" s="4"/>
      <c r="G101" s="2"/>
      <c r="H101" s="2"/>
      <c r="I101" s="2"/>
      <c r="J101" s="5"/>
      <c r="L101" s="56"/>
      <c r="AE101" s="953"/>
      <c r="AF101" s="2"/>
      <c r="AG101" s="2"/>
    </row>
    <row r="102" spans="1:33" ht="20.100000000000001" customHeight="1" x14ac:dyDescent="0.25">
      <c r="A102" s="30" t="str">
        <f>'Лайт+АКУСТИК DDP'!A79</f>
        <v>Категория "С" - это товары "под заказ", и сроки индивидуально оговариваются с клиентом (заявки принимаются в объеме не менее 10 тонн, кратно поддону)</v>
      </c>
      <c r="E102" s="2"/>
      <c r="F102" s="4"/>
      <c r="G102" s="2"/>
      <c r="H102" s="2"/>
      <c r="I102" s="2"/>
      <c r="J102" s="5"/>
      <c r="L102" s="56"/>
      <c r="AE102" s="953"/>
      <c r="AF102" s="2"/>
      <c r="AG102" s="2"/>
    </row>
    <row r="103" spans="1:33" ht="20.100000000000001" customHeight="1" x14ac:dyDescent="0.25">
      <c r="A103" s="30"/>
      <c r="E103" s="4"/>
      <c r="F103" s="2"/>
      <c r="G103" s="2"/>
      <c r="H103" s="2"/>
      <c r="I103" s="2"/>
      <c r="J103" s="5"/>
      <c r="L103" s="56"/>
      <c r="AE103" s="953"/>
      <c r="AF103" s="2"/>
      <c r="AG103" s="2"/>
    </row>
    <row r="104" spans="1:33" ht="20.100000000000001" customHeight="1" x14ac:dyDescent="0.25">
      <c r="A104" s="30"/>
      <c r="E104" s="4"/>
      <c r="F104" s="2"/>
      <c r="G104" s="2"/>
      <c r="H104" s="2"/>
      <c r="I104" s="2"/>
      <c r="J104" s="5"/>
      <c r="L104" s="56"/>
      <c r="AE104" s="953"/>
      <c r="AF104" s="2"/>
      <c r="AG104" s="2"/>
    </row>
    <row r="105" spans="1:33" ht="20.100000000000001" customHeight="1" x14ac:dyDescent="0.25">
      <c r="A105" s="31"/>
      <c r="E105" s="2"/>
      <c r="F105" s="2"/>
      <c r="G105" s="2"/>
      <c r="H105" s="2"/>
      <c r="I105" s="2"/>
      <c r="J105" s="2"/>
      <c r="AE105" s="953"/>
      <c r="AF105" s="2"/>
      <c r="AG105" s="2"/>
    </row>
    <row r="106" spans="1:33" ht="20.100000000000001" customHeight="1" x14ac:dyDescent="0.25">
      <c r="E106" s="2"/>
      <c r="F106" s="2"/>
      <c r="G106" s="2"/>
      <c r="H106" s="2"/>
      <c r="I106" s="2"/>
      <c r="J106" s="2"/>
      <c r="AE106" s="953"/>
      <c r="AF106" s="2"/>
      <c r="AG106" s="2"/>
    </row>
    <row r="107" spans="1:33" ht="19.5" customHeight="1" x14ac:dyDescent="0.25">
      <c r="A107" s="2"/>
      <c r="E107" s="2"/>
      <c r="F107" s="2"/>
      <c r="G107" s="2"/>
      <c r="H107" s="2"/>
      <c r="I107" s="2"/>
      <c r="J107" s="2"/>
      <c r="AE107" s="953"/>
      <c r="AF107" s="2"/>
      <c r="AG107" s="2"/>
    </row>
    <row r="108" spans="1:33" ht="20.100000000000001" customHeight="1" x14ac:dyDescent="0.25">
      <c r="A108" s="2"/>
      <c r="E108" s="2"/>
      <c r="F108" s="2"/>
      <c r="G108" s="2"/>
      <c r="H108" s="2"/>
      <c r="I108" s="2"/>
      <c r="J108" s="2"/>
      <c r="AE108" s="953"/>
      <c r="AF108" s="2"/>
      <c r="AG108" s="2"/>
    </row>
    <row r="109" spans="1:33" ht="20.100000000000001" customHeight="1" x14ac:dyDescent="0.25">
      <c r="A109" s="2"/>
      <c r="C109" s="19"/>
      <c r="D109" s="20"/>
      <c r="E109" s="20"/>
      <c r="F109" s="20"/>
      <c r="G109" s="20"/>
      <c r="H109" s="20"/>
      <c r="I109" s="20"/>
      <c r="J109" s="20"/>
      <c r="K109" s="21"/>
      <c r="L109" s="20"/>
      <c r="M109" s="22"/>
      <c r="N109" s="69"/>
      <c r="O109" s="60"/>
      <c r="P109" s="20"/>
      <c r="Q109" s="22"/>
      <c r="R109" s="22"/>
      <c r="S109" s="22"/>
      <c r="T109" s="22"/>
      <c r="X109" s="22"/>
      <c r="Y109" s="22"/>
      <c r="Z109" s="22"/>
      <c r="AA109" s="22"/>
      <c r="AB109" s="22"/>
      <c r="AC109" s="22"/>
      <c r="AD109" s="1030"/>
      <c r="AE109" s="953"/>
      <c r="AF109" s="2"/>
      <c r="AG109" s="2"/>
    </row>
    <row r="110" spans="1:33" ht="20.100000000000001" customHeight="1" x14ac:dyDescent="0.25">
      <c r="C110" s="23"/>
      <c r="D110" s="20"/>
      <c r="E110" s="20"/>
      <c r="F110" s="20"/>
      <c r="G110" s="20"/>
      <c r="H110" s="20"/>
      <c r="I110" s="20"/>
      <c r="J110" s="20"/>
      <c r="K110" s="21"/>
      <c r="L110" s="20"/>
      <c r="M110" s="24"/>
      <c r="N110" s="70"/>
      <c r="O110" s="60"/>
      <c r="P110" s="20"/>
      <c r="Q110" s="24"/>
      <c r="R110" s="24"/>
      <c r="S110" s="24"/>
      <c r="T110" s="24"/>
      <c r="X110" s="24"/>
      <c r="Y110" s="24"/>
      <c r="Z110" s="24"/>
      <c r="AA110" s="24"/>
      <c r="AB110" s="24"/>
      <c r="AC110" s="24"/>
      <c r="AD110" s="1031"/>
      <c r="AE110" s="953"/>
      <c r="AF110" s="2"/>
      <c r="AG110" s="2"/>
    </row>
    <row r="111" spans="1:33" ht="20.100000000000001" customHeight="1" x14ac:dyDescent="0.25">
      <c r="C111" s="23"/>
      <c r="D111" s="20"/>
      <c r="E111" s="20"/>
      <c r="F111" s="20"/>
      <c r="G111" s="20"/>
      <c r="H111" s="20"/>
      <c r="I111" s="20"/>
      <c r="J111" s="20"/>
      <c r="K111" s="21"/>
      <c r="L111" s="20"/>
      <c r="M111" s="24"/>
      <c r="N111" s="70"/>
      <c r="O111" s="60"/>
      <c r="P111" s="20"/>
      <c r="Q111" s="24"/>
      <c r="R111" s="24"/>
      <c r="S111" s="24"/>
      <c r="T111" s="24"/>
      <c r="X111" s="24"/>
      <c r="Y111" s="24"/>
      <c r="Z111" s="24"/>
      <c r="AA111" s="24"/>
      <c r="AB111" s="24"/>
      <c r="AC111" s="24"/>
      <c r="AD111" s="1031"/>
      <c r="AE111" s="953"/>
      <c r="AF111" s="2"/>
      <c r="AG111" s="2"/>
    </row>
    <row r="113" spans="2:2" x14ac:dyDescent="0.25">
      <c r="B113" s="25"/>
    </row>
  </sheetData>
  <mergeCells count="22">
    <mergeCell ref="B3:N3"/>
    <mergeCell ref="R99:T99"/>
    <mergeCell ref="N6:O6"/>
    <mergeCell ref="P6:Q6"/>
    <mergeCell ref="R6:T6"/>
    <mergeCell ref="P95:T95"/>
    <mergeCell ref="P98:T98"/>
    <mergeCell ref="P96:T96"/>
    <mergeCell ref="P97:T97"/>
    <mergeCell ref="G6:G7"/>
    <mergeCell ref="H6:H7"/>
    <mergeCell ref="K6:M6"/>
    <mergeCell ref="A9:A23"/>
    <mergeCell ref="A25:A39"/>
    <mergeCell ref="A41:A55"/>
    <mergeCell ref="J6:J7"/>
    <mergeCell ref="I6:I7"/>
    <mergeCell ref="A6:A7"/>
    <mergeCell ref="B6:B7"/>
    <mergeCell ref="C6:C7"/>
    <mergeCell ref="D6:D7"/>
    <mergeCell ref="E6:E7"/>
  </mergeCells>
  <phoneticPr fontId="65" type="noConversion"/>
  <printOptions horizontalCentered="1"/>
  <pageMargins left="0.19685039370078741" right="0.19685039370078741" top="0.39370078740157483" bottom="0" header="0" footer="0"/>
  <pageSetup paperSize="9" scale="37" orientation="portrait" verticalDpi="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9939" r:id="rId4" name="Drop Down 3">
              <controlPr defaultSize="0" autoLine="0" autoPict="0">
                <anchor moveWithCells="1">
                  <from>
                    <xdr:col>14</xdr:col>
                    <xdr:colOff>257175</xdr:colOff>
                    <xdr:row>1</xdr:row>
                    <xdr:rowOff>161925</xdr:rowOff>
                  </from>
                  <to>
                    <xdr:col>17</xdr:col>
                    <xdr:colOff>762000</xdr:colOff>
                    <xdr:row>2</xdr:row>
                    <xdr:rowOff>200025</xdr:rowOff>
                  </to>
                </anchor>
              </controlPr>
            </control>
          </mc:Choice>
        </mc:AlternateContent>
        <mc:AlternateContent xmlns:mc="http://schemas.openxmlformats.org/markup-compatibility/2006">
          <mc:Choice Requires="x14">
            <control shapeId="39941" r:id="rId5" name="Drop Down 5">
              <controlPr defaultSize="0" autoLine="0" autoPict="0">
                <anchor moveWithCells="1">
                  <from>
                    <xdr:col>14</xdr:col>
                    <xdr:colOff>266700</xdr:colOff>
                    <xdr:row>2</xdr:row>
                    <xdr:rowOff>419100</xdr:rowOff>
                  </from>
                  <to>
                    <xdr:col>15</xdr:col>
                    <xdr:colOff>542925</xdr:colOff>
                    <xdr:row>2</xdr:row>
                    <xdr:rowOff>771525</xdr:rowOff>
                  </to>
                </anchor>
              </controlPr>
            </control>
          </mc:Choice>
        </mc:AlternateContent>
        <mc:AlternateContent xmlns:mc="http://schemas.openxmlformats.org/markup-compatibility/2006">
          <mc:Choice Requires="x14">
            <control shapeId="39942" r:id="rId6" name="Drop Down 6">
              <controlPr defaultSize="0" autoLine="0" autoPict="0">
                <anchor moveWithCells="1">
                  <from>
                    <xdr:col>16</xdr:col>
                    <xdr:colOff>295275</xdr:colOff>
                    <xdr:row>2</xdr:row>
                    <xdr:rowOff>400050</xdr:rowOff>
                  </from>
                  <to>
                    <xdr:col>17</xdr:col>
                    <xdr:colOff>714375</xdr:colOff>
                    <xdr:row>2</xdr:row>
                    <xdr:rowOff>762000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3">
    <tabColor rgb="FFFF0000"/>
    <pageSetUpPr fitToPage="1"/>
  </sheetPr>
  <dimension ref="A1:AF93"/>
  <sheetViews>
    <sheetView showGridLines="0" view="pageBreakPreview" zoomScale="70" zoomScaleNormal="100" zoomScaleSheetLayoutView="70" workbookViewId="0">
      <pane xSplit="1" ySplit="7" topLeftCell="B51" activePane="bottomRight" state="frozen"/>
      <selection sqref="A1:IV65536"/>
      <selection pane="topRight" sqref="A1:IV65536"/>
      <selection pane="bottomLeft" sqref="A1:IV65536"/>
      <selection pane="bottomRight" activeCell="P52" sqref="P52:T56"/>
    </sheetView>
  </sheetViews>
  <sheetFormatPr defaultColWidth="11.42578125" defaultRowHeight="18" x14ac:dyDescent="0.25"/>
  <cols>
    <col min="1" max="1" width="44.85546875" style="3" customWidth="1"/>
    <col min="2" max="4" width="9.7109375" style="2" customWidth="1"/>
    <col min="5" max="6" width="10.7109375" style="71" hidden="1" customWidth="1"/>
    <col min="7" max="7" width="16.28515625" style="71" customWidth="1"/>
    <col min="8" max="8" width="6.28515625" style="71" customWidth="1"/>
    <col min="9" max="9" width="12.28515625" style="71" customWidth="1"/>
    <col min="10" max="10" width="10.7109375" style="71" hidden="1" customWidth="1"/>
    <col min="11" max="11" width="11.5703125" style="4" customWidth="1"/>
    <col min="12" max="12" width="11.5703125" style="2" customWidth="1"/>
    <col min="13" max="13" width="11.5703125" style="5" customWidth="1"/>
    <col min="14" max="14" width="11.5703125" style="4" customWidth="1"/>
    <col min="15" max="15" width="11.5703125" style="56" customWidth="1"/>
    <col min="16" max="16" width="12.85546875" style="2" customWidth="1"/>
    <col min="17" max="17" width="13.42578125" style="5" customWidth="1"/>
    <col min="18" max="18" width="13.85546875" style="2" customWidth="1"/>
    <col min="19" max="19" width="13.5703125" style="2" customWidth="1"/>
    <col min="20" max="20" width="14.7109375" style="2" customWidth="1"/>
    <col min="21" max="21" width="13.85546875" customWidth="1"/>
    <col min="22" max="22" width="14.140625" customWidth="1"/>
    <col min="23" max="23" width="16.28515625" customWidth="1"/>
    <col min="24" max="28" width="14.7109375" style="2" customWidth="1"/>
    <col min="29" max="29" width="14.7109375" style="745" customWidth="1"/>
    <col min="30" max="30" width="22.5703125" style="1035" customWidth="1"/>
    <col min="31" max="31" width="16.28515625" style="79" customWidth="1"/>
    <col min="32" max="32" width="11.42578125" customWidth="1"/>
    <col min="33" max="33" width="11.42578125" style="2" customWidth="1"/>
    <col min="34" max="16384" width="11.42578125" style="2"/>
  </cols>
  <sheetData>
    <row r="1" spans="1:32" ht="26.25" x14ac:dyDescent="0.4">
      <c r="A1" s="75" t="s">
        <v>19</v>
      </c>
      <c r="P1" s="134"/>
      <c r="Q1" s="261"/>
      <c r="R1" s="134"/>
      <c r="S1" s="134"/>
      <c r="T1" s="134"/>
    </row>
    <row r="2" spans="1:32" s="27" customFormat="1" ht="26.25" x14ac:dyDescent="0.4">
      <c r="A2" s="75" t="s">
        <v>20</v>
      </c>
      <c r="E2" s="72"/>
      <c r="F2" s="72"/>
      <c r="G2" s="72"/>
      <c r="H2" s="72"/>
      <c r="I2" s="72"/>
      <c r="J2" s="72"/>
      <c r="K2" s="28"/>
      <c r="M2" s="29"/>
      <c r="N2" s="28"/>
      <c r="O2" s="558"/>
      <c r="P2" s="558"/>
      <c r="Q2" s="559"/>
      <c r="R2" s="558"/>
      <c r="S2" s="1134"/>
      <c r="T2" s="1134"/>
      <c r="AC2" s="1014"/>
      <c r="AD2" s="953"/>
      <c r="AE2" s="2"/>
    </row>
    <row r="3" spans="1:32" s="27" customFormat="1" ht="87" customHeight="1" x14ac:dyDescent="0.35">
      <c r="A3" s="791" t="str">
        <f>INDEX('Доставка по областям'!$A$2:$A$90,'ЛАЙТ Рязань'!Q5)</f>
        <v>Рязанская область</v>
      </c>
      <c r="B3" s="1373" t="str">
        <f>IFERROR(VLOOKUP(A3,'Доставка по областям'!$A$92:$B$104,2,0)," ")</f>
        <v xml:space="preserve"> </v>
      </c>
      <c r="C3" s="1373"/>
      <c r="D3" s="1373"/>
      <c r="E3" s="1373"/>
      <c r="F3" s="1373"/>
      <c r="G3" s="1373"/>
      <c r="H3" s="1373"/>
      <c r="I3" s="1373"/>
      <c r="J3" s="1373"/>
      <c r="K3" s="1373"/>
      <c r="L3" s="1373"/>
      <c r="M3" s="1373"/>
      <c r="N3" s="1373"/>
      <c r="O3" s="558"/>
      <c r="P3" s="558"/>
      <c r="Q3" s="559"/>
      <c r="R3" s="558"/>
      <c r="S3" s="1134"/>
      <c r="T3" s="1134"/>
      <c r="AC3" s="1014"/>
      <c r="AD3" s="1016"/>
    </row>
    <row r="4" spans="1:32" x14ac:dyDescent="0.25">
      <c r="A4" s="1128"/>
      <c r="B4" s="1129"/>
      <c r="C4" s="1129"/>
      <c r="D4" s="1129"/>
      <c r="E4" s="1129"/>
      <c r="F4" s="1129"/>
      <c r="G4" s="1129"/>
      <c r="H4" s="1129"/>
      <c r="I4" s="1129"/>
      <c r="J4" s="1129"/>
      <c r="K4" s="1129"/>
      <c r="L4" s="1129"/>
      <c r="M4" s="1129"/>
      <c r="N4" s="1129"/>
      <c r="O4" s="1129"/>
      <c r="P4" s="1129"/>
      <c r="Q4" s="1129"/>
      <c r="R4" s="1129"/>
      <c r="S4" s="1129"/>
      <c r="T4" s="1129"/>
      <c r="X4" s="783"/>
      <c r="Y4" s="783"/>
      <c r="Z4" s="783"/>
      <c r="AA4" s="783"/>
      <c r="AB4" s="783"/>
      <c r="AC4" s="1033"/>
      <c r="AD4" s="953"/>
      <c r="AE4" s="2"/>
      <c r="AF4" s="2"/>
    </row>
    <row r="5" spans="1:32" ht="18.75" thickBot="1" x14ac:dyDescent="0.3">
      <c r="A5" s="1130">
        <f>ФасадDDP!A5</f>
        <v>0</v>
      </c>
      <c r="B5" s="1131"/>
      <c r="C5" s="1131"/>
      <c r="D5" s="1131"/>
      <c r="E5" s="1131"/>
      <c r="F5" s="1131"/>
      <c r="G5" s="1131"/>
      <c r="H5" s="1131"/>
      <c r="I5" s="1131"/>
      <c r="J5" s="1131"/>
      <c r="K5" s="1131"/>
      <c r="L5" s="1131"/>
      <c r="M5" s="1131"/>
      <c r="N5" s="1132"/>
      <c r="O5" s="1133"/>
      <c r="P5" s="1131"/>
      <c r="Q5" s="1131"/>
      <c r="R5" s="1129"/>
      <c r="S5" s="1129"/>
      <c r="T5" s="1129"/>
      <c r="X5" s="1009"/>
      <c r="Y5" s="1009"/>
      <c r="Z5" s="1009"/>
      <c r="AA5" s="1009"/>
      <c r="AB5" s="1009"/>
      <c r="AC5" s="1018"/>
      <c r="AD5" s="953"/>
      <c r="AE5" s="2"/>
      <c r="AF5" s="2"/>
    </row>
    <row r="6" spans="1:32" ht="72.75" customHeight="1" thickBot="1" x14ac:dyDescent="0.4">
      <c r="A6" s="1250" t="s">
        <v>0</v>
      </c>
      <c r="B6" s="1252" t="s">
        <v>1</v>
      </c>
      <c r="C6" s="1254" t="s">
        <v>2</v>
      </c>
      <c r="D6" s="1256" t="s">
        <v>3</v>
      </c>
      <c r="E6" s="1260" t="s">
        <v>56</v>
      </c>
      <c r="F6" s="109"/>
      <c r="G6" s="1260" t="s">
        <v>133</v>
      </c>
      <c r="H6" s="1260" t="s">
        <v>36</v>
      </c>
      <c r="I6" s="1260" t="s">
        <v>582</v>
      </c>
      <c r="J6" s="1260" t="s">
        <v>56</v>
      </c>
      <c r="K6" s="1276" t="s">
        <v>49</v>
      </c>
      <c r="L6" s="1277"/>
      <c r="M6" s="1278"/>
      <c r="N6" s="1273" t="s">
        <v>48</v>
      </c>
      <c r="O6" s="1274"/>
      <c r="P6" s="1265" t="s">
        <v>44</v>
      </c>
      <c r="Q6" s="1266"/>
      <c r="R6" s="1264" t="s">
        <v>760</v>
      </c>
      <c r="S6" s="1265"/>
      <c r="T6" s="1266"/>
      <c r="X6" s="27"/>
      <c r="Y6" s="27"/>
      <c r="Z6" s="989"/>
      <c r="AA6" s="989"/>
      <c r="AB6" s="989"/>
      <c r="AC6" s="1020"/>
      <c r="AD6" s="1032"/>
      <c r="AE6"/>
    </row>
    <row r="7" spans="1:32" ht="53.25" customHeight="1" thickBot="1" x14ac:dyDescent="0.3">
      <c r="A7" s="1251"/>
      <c r="B7" s="1253"/>
      <c r="C7" s="1255"/>
      <c r="D7" s="1257"/>
      <c r="E7" s="1262"/>
      <c r="F7" s="110"/>
      <c r="G7" s="1263"/>
      <c r="H7" s="1263"/>
      <c r="I7" s="1263"/>
      <c r="J7" s="1262"/>
      <c r="K7" s="472" t="s">
        <v>5</v>
      </c>
      <c r="L7" s="819" t="s">
        <v>17</v>
      </c>
      <c r="M7" s="462" t="s">
        <v>18</v>
      </c>
      <c r="N7" s="475" t="s">
        <v>47</v>
      </c>
      <c r="O7" s="476" t="s">
        <v>18</v>
      </c>
      <c r="P7" s="482" t="s">
        <v>43</v>
      </c>
      <c r="Q7" s="476" t="s">
        <v>42</v>
      </c>
      <c r="R7" s="458" t="s">
        <v>6</v>
      </c>
      <c r="S7" s="54" t="s">
        <v>18</v>
      </c>
      <c r="T7" s="41" t="s">
        <v>22</v>
      </c>
      <c r="U7" s="1225"/>
      <c r="V7" s="1151"/>
      <c r="W7" s="1240"/>
      <c r="X7" s="1150"/>
      <c r="Y7" s="1151"/>
      <c r="Z7" s="1151"/>
      <c r="AA7" s="1152"/>
      <c r="AB7" s="990"/>
      <c r="AC7" s="1021"/>
      <c r="AD7" s="1023"/>
      <c r="AE7" s="2"/>
      <c r="AF7" s="649"/>
    </row>
    <row r="8" spans="1:32" ht="24.95" customHeight="1" thickBot="1" x14ac:dyDescent="0.3">
      <c r="A8" s="35" t="s">
        <v>55</v>
      </c>
      <c r="B8" s="9">
        <v>1200</v>
      </c>
      <c r="C8" s="10">
        <v>600</v>
      </c>
      <c r="D8" s="11">
        <v>50</v>
      </c>
      <c r="E8" s="106"/>
      <c r="F8" s="106"/>
      <c r="G8" s="210" t="s">
        <v>180</v>
      </c>
      <c r="H8" s="604" t="str">
        <f>IF(OR('КРОВЛЯ Рязань'!$T$6="Завод 'ТЕХНО' г.Рязань",'КРОВЛЯ Рязань'!$T$6="Завод 'ТЕХНО' г.Заинск"),'КРОВЛЯ Рязань'!E8,'КРОВЛЯ Юрга'!E8)</f>
        <v>Б</v>
      </c>
      <c r="I8" s="592" t="str">
        <f>IF(OR('КРОВЛЯ Рязань'!$T$6="Завод 'ТЕХНО' г.Рязань",'КРОВЛЯ Рязань'!$T$6="Завод 'ТЕХНО' г.Заинск"),'КРОВЛЯ Рязань'!I8,'КРОВЛЯ Юрга'!I8)</f>
        <v xml:space="preserve"> </v>
      </c>
      <c r="J8" s="196"/>
      <c r="K8" s="45">
        <v>6</v>
      </c>
      <c r="L8" s="185">
        <f>B8*C8*K8/1000000</f>
        <v>4.32</v>
      </c>
      <c r="M8" s="188">
        <f>D8*L8/1000</f>
        <v>0.216</v>
      </c>
      <c r="N8" s="45">
        <v>32</v>
      </c>
      <c r="O8" s="179">
        <f>M8*N8</f>
        <v>6.9119999999999999</v>
      </c>
      <c r="P8" s="229">
        <f>O8*11</f>
        <v>76.031999999999996</v>
      </c>
      <c r="Q8" s="46"/>
      <c r="R8" s="88">
        <f>IFERROR(M8*S8,"---")</f>
        <v>1001.376</v>
      </c>
      <c r="S8" s="786">
        <f>IFERROR(IF(OR('КРОВЛЯ Рязань'!$T$6="Завод 'ТЕХНО' г.Рязань",'КРОВЛЯ Рязань'!$T$6="Завод 'ТЕХНО' г.Заинск"),IF('КРОВЛЯ Рязань'!$T$6="Завод 'ТЕХНО' г.Рязань",'КРОВЛЯ Рязань'!R8*(1-'КРОВЛЯ Рязань'!$V$5-'КРОВЛЯ Рязань'!V8)+IFERROR(SEARCH("комп",J8)/SEARCH("комп",J8)*'КРОВЛЯ Рязань'!$R$5,'КРОВЛЯ Рязань'!S$5),'КРОВЛЯ Заинск'!R8*(1-'КРОВЛЯ Рязань'!$V$5-'КРОВЛЯ Рязань'!V8)+IFERROR(SEARCH("комп",J8)/SEARCH("комп",J8)*'КРОВЛЯ Рязань'!$R$5,'КРОВЛЯ Рязань'!S$5)),'КРОВЛЯ Юрга'!R8*(1-'КРОВЛЯ Рязань'!$V$5-'КРОВЛЯ Рязань'!V8)+IFERROR(SEARCH("комп",J8)/SEARCH("комп",J8)*'КРОВЛЯ Рязань'!$R$5,'КРОВЛЯ Рязань'!S$5)),"нет")</f>
        <v>4636</v>
      </c>
      <c r="T8" s="101">
        <f>IFERROR(S8*D8/1000,"---")</f>
        <v>231.8</v>
      </c>
      <c r="U8" s="1221"/>
      <c r="V8" s="1229"/>
      <c r="W8" s="1221"/>
      <c r="X8" s="1154"/>
      <c r="Y8" s="1155"/>
      <c r="Z8" s="1156"/>
      <c r="AA8" s="1157"/>
      <c r="AB8" s="991"/>
      <c r="AC8" s="1022"/>
      <c r="AD8" s="1036"/>
      <c r="AE8" s="82"/>
      <c r="AF8" s="650"/>
    </row>
    <row r="9" spans="1:32" ht="24.95" customHeight="1" thickBot="1" x14ac:dyDescent="0.3">
      <c r="A9" s="1297" t="s">
        <v>28</v>
      </c>
      <c r="B9" s="203">
        <v>1200</v>
      </c>
      <c r="C9" s="204">
        <v>600</v>
      </c>
      <c r="D9" s="209">
        <v>60</v>
      </c>
      <c r="E9" s="263"/>
      <c r="F9" s="263"/>
      <c r="G9" s="264" t="s">
        <v>181</v>
      </c>
      <c r="H9" s="604" t="str">
        <f>IF(OR('КРОВЛЯ Рязань'!$T$6="Завод 'ТЕХНО' г.Рязань",'КРОВЛЯ Рязань'!$T$6="Завод 'ТЕХНО' г.Заинск"),'КРОВЛЯ Рязань'!E9,'КРОВЛЯ Юрга'!E9)</f>
        <v>Б</v>
      </c>
      <c r="I9" s="592" t="str">
        <f>IF(OR('КРОВЛЯ Рязань'!$T$6="Завод 'ТЕХНО' г.Рязань",'КРОВЛЯ Рязань'!$T$6="Завод 'ТЕХНО' г.Заинск"),'КРОВЛЯ Рязань'!I9,'КРОВЛЯ Юрга'!I9)</f>
        <v xml:space="preserve"> </v>
      </c>
      <c r="J9" s="177"/>
      <c r="K9" s="97">
        <v>4</v>
      </c>
      <c r="L9" s="181">
        <f>B9*C9*K9/1000000</f>
        <v>2.88</v>
      </c>
      <c r="M9" s="198">
        <f>D9*L9/1000</f>
        <v>0.17279999999999998</v>
      </c>
      <c r="N9" s="97">
        <v>40</v>
      </c>
      <c r="O9" s="166">
        <f>M9*N9</f>
        <v>6.911999999999999</v>
      </c>
      <c r="P9" s="231">
        <f>O9*11</f>
        <v>76.031999999999982</v>
      </c>
      <c r="Q9" s="266"/>
      <c r="R9" s="88">
        <f t="shared" ref="R9:R49" si="0">IFERROR(M9*S9,"---")</f>
        <v>801.10079999999994</v>
      </c>
      <c r="S9" s="786">
        <f>IFERROR(IF(OR('КРОВЛЯ Рязань'!$T$6="Завод 'ТЕХНО' г.Рязань",'КРОВЛЯ Рязань'!$T$6="Завод 'ТЕХНО' г.Заинск"),IF('КРОВЛЯ Рязань'!$T$6="Завод 'ТЕХНО' г.Рязань",'КРОВЛЯ Рязань'!R9*(1-'КРОВЛЯ Рязань'!$V$5-'КРОВЛЯ Рязань'!V9)+IFERROR(SEARCH("комп",J9)/SEARCH("комп",J9)*'КРОВЛЯ Рязань'!$R$5,'КРОВЛЯ Рязань'!S$5),'КРОВЛЯ Заинск'!R9*(1-'КРОВЛЯ Рязань'!$V$5-'КРОВЛЯ Рязань'!V9)+IFERROR(SEARCH("комп",J9)/SEARCH("комп",J9)*'КРОВЛЯ Рязань'!$R$5,'КРОВЛЯ Рязань'!S$5)),'КРОВЛЯ Юрга'!R9*(1-'КРОВЛЯ Рязань'!$V$5-'КРОВЛЯ Рязань'!V9)+IFERROR(SEARCH("комп",J9)/SEARCH("комп",J9)*'КРОВЛЯ Рязань'!$R$5,'КРОВЛЯ Рязань'!S$5)),"нет")</f>
        <v>4636</v>
      </c>
      <c r="T9" s="101">
        <f t="shared" ref="T9:T49" si="1">IFERROR(S9*D9/1000,"---")</f>
        <v>278.16000000000003</v>
      </c>
      <c r="U9" s="1221"/>
      <c r="V9" s="1229"/>
      <c r="W9" s="1221"/>
      <c r="X9" s="1154"/>
      <c r="Y9" s="1155"/>
      <c r="Z9" s="1156"/>
      <c r="AA9" s="1157"/>
      <c r="AB9" s="991"/>
      <c r="AC9" s="1022"/>
      <c r="AD9" s="1024"/>
      <c r="AE9" s="82"/>
      <c r="AF9" s="650"/>
    </row>
    <row r="10" spans="1:32" ht="24.95" customHeight="1" thickBot="1" x14ac:dyDescent="0.3">
      <c r="A10" s="1297"/>
      <c r="B10" s="203">
        <v>1200</v>
      </c>
      <c r="C10" s="204">
        <v>600</v>
      </c>
      <c r="D10" s="209">
        <v>70</v>
      </c>
      <c r="E10" s="263"/>
      <c r="F10" s="263"/>
      <c r="G10" s="264" t="s">
        <v>182</v>
      </c>
      <c r="H10" s="604" t="str">
        <f>IF(OR('КРОВЛЯ Рязань'!$T$6="Завод 'ТЕХНО' г.Рязань",'КРОВЛЯ Рязань'!$T$6="Завод 'ТЕХНО' г.Заинск"),'КРОВЛЯ Рязань'!E10,'КРОВЛЯ Юрга'!E10)</f>
        <v>C</v>
      </c>
      <c r="I10" s="592">
        <f>IF(OR('КРОВЛЯ Рязань'!$T$6="Завод 'ТЕХНО' г.Рязань",'КРОВЛЯ Рязань'!$T$6="Завод 'ТЕХНО' г.Заинск"),'КРОВЛЯ Рязань'!I10,'КРОВЛЯ Юрга'!I10)</f>
        <v>90.316800000000001</v>
      </c>
      <c r="J10" s="177">
        <v>290.30399999999997</v>
      </c>
      <c r="K10" s="97">
        <v>4</v>
      </c>
      <c r="L10" s="181">
        <f t="shared" ref="L10:L49" si="2">B10*C10*K10/1000000</f>
        <v>2.88</v>
      </c>
      <c r="M10" s="198">
        <f t="shared" ref="M10:M49" si="3">D10*L10/1000</f>
        <v>0.2016</v>
      </c>
      <c r="N10" s="97">
        <v>32</v>
      </c>
      <c r="O10" s="166">
        <f t="shared" ref="O10:O49" si="4">M10*N10</f>
        <v>6.4512</v>
      </c>
      <c r="P10" s="231">
        <f t="shared" ref="P10:P49" si="5">O10*11</f>
        <v>70.963200000000001</v>
      </c>
      <c r="Q10" s="266"/>
      <c r="R10" s="88">
        <f t="shared" si="0"/>
        <v>934.61760000000004</v>
      </c>
      <c r="S10" s="786">
        <f>IFERROR(IF(OR('КРОВЛЯ Рязань'!$T$6="Завод 'ТЕХНО' г.Рязань",'КРОВЛЯ Рязань'!$T$6="Завод 'ТЕХНО' г.Заинск"),IF('КРОВЛЯ Рязань'!$T$6="Завод 'ТЕХНО' г.Рязань",'КРОВЛЯ Рязань'!R10*(1-'КРОВЛЯ Рязань'!$V$5-'КРОВЛЯ Рязань'!V10)+IFERROR(SEARCH("комп",J10)/SEARCH("комп",J10)*'КРОВЛЯ Рязань'!$R$5,'КРОВЛЯ Рязань'!S$5),'КРОВЛЯ Заинск'!R10*(1-'КРОВЛЯ Рязань'!$V$5-'КРОВЛЯ Рязань'!V10)+IFERROR(SEARCH("комп",J10)/SEARCH("комп",J10)*'КРОВЛЯ Рязань'!$R$5,'КРОВЛЯ Рязань'!S$5)),'КРОВЛЯ Юрга'!R10*(1-'КРОВЛЯ Рязань'!$V$5-'КРОВЛЯ Рязань'!V10)+IFERROR(SEARCH("комп",J10)/SEARCH("комп",J10)*'КРОВЛЯ Рязань'!$R$5,'КРОВЛЯ Рязань'!S$5)),"нет")</f>
        <v>4636</v>
      </c>
      <c r="T10" s="101">
        <f t="shared" si="1"/>
        <v>324.52</v>
      </c>
      <c r="U10" s="1221"/>
      <c r="V10" s="1229"/>
      <c r="W10" s="1221"/>
      <c r="X10" s="1154"/>
      <c r="Y10" s="1155"/>
      <c r="Z10" s="1156"/>
      <c r="AA10" s="1157"/>
      <c r="AB10" s="991"/>
      <c r="AC10" s="1022"/>
      <c r="AD10" s="1024"/>
      <c r="AE10" s="2"/>
      <c r="AF10" s="2"/>
    </row>
    <row r="11" spans="1:32" ht="24.95" customHeight="1" thickBot="1" x14ac:dyDescent="0.3">
      <c r="A11" s="1297"/>
      <c r="B11" s="203">
        <v>1200</v>
      </c>
      <c r="C11" s="204">
        <v>600</v>
      </c>
      <c r="D11" s="209">
        <v>80</v>
      </c>
      <c r="E11" s="263">
        <v>100</v>
      </c>
      <c r="F11" s="263">
        <v>14.467592592592592</v>
      </c>
      <c r="G11" s="264" t="s">
        <v>183</v>
      </c>
      <c r="H11" s="604" t="str">
        <f>IF(OR('КРОВЛЯ Рязань'!$T$6="Завод 'ТЕХНО' г.Рязань",'КРОВЛЯ Рязань'!$T$6="Завод 'ТЕХНО' г.Заинск"),'КРОВЛЯ Рязань'!E11,'КРОВЛЯ Юрга'!E11)</f>
        <v>Б</v>
      </c>
      <c r="I11" s="592" t="str">
        <f>IF(OR('КРОВЛЯ Рязань'!$T$6="Завод 'ТЕХНО' г.Рязань",'КРОВЛЯ Рязань'!$T$6="Завод 'ТЕХНО' г.Заинск"),'КРОВЛЯ Рязань'!I11,'КРОВЛЯ Юрга'!I11)</f>
        <v xml:space="preserve"> </v>
      </c>
      <c r="J11" s="177"/>
      <c r="K11" s="97">
        <v>3</v>
      </c>
      <c r="L11" s="181">
        <f t="shared" si="2"/>
        <v>2.16</v>
      </c>
      <c r="M11" s="198">
        <f t="shared" si="3"/>
        <v>0.17280000000000001</v>
      </c>
      <c r="N11" s="97">
        <v>40</v>
      </c>
      <c r="O11" s="166">
        <f t="shared" si="4"/>
        <v>6.9120000000000008</v>
      </c>
      <c r="P11" s="231">
        <f t="shared" si="5"/>
        <v>76.032000000000011</v>
      </c>
      <c r="Q11" s="266"/>
      <c r="R11" s="88">
        <f t="shared" si="0"/>
        <v>801.10080000000005</v>
      </c>
      <c r="S11" s="786">
        <f>IFERROR(IF(OR('КРОВЛЯ Рязань'!$T$6="Завод 'ТЕХНО' г.Рязань",'КРОВЛЯ Рязань'!$T$6="Завод 'ТЕХНО' г.Заинск"),IF('КРОВЛЯ Рязань'!$T$6="Завод 'ТЕХНО' г.Рязань",'КРОВЛЯ Рязань'!R11*(1-'КРОВЛЯ Рязань'!$V$5-'КРОВЛЯ Рязань'!V11)+IFERROR(SEARCH("комп",J11)/SEARCH("комп",J11)*'КРОВЛЯ Рязань'!$R$5,'КРОВЛЯ Рязань'!S$5),'КРОВЛЯ Заинск'!R11*(1-'КРОВЛЯ Рязань'!$V$5-'КРОВЛЯ Рязань'!V11)+IFERROR(SEARCH("комп",J11)/SEARCH("комп",J11)*'КРОВЛЯ Рязань'!$R$5,'КРОВЛЯ Рязань'!S$5)),'КРОВЛЯ Юрга'!R11*(1-'КРОВЛЯ Рязань'!$V$5-'КРОВЛЯ Рязань'!V11)+IFERROR(SEARCH("комп",J11)/SEARCH("комп",J11)*'КРОВЛЯ Рязань'!$R$5,'КРОВЛЯ Рязань'!S$5)),"нет")</f>
        <v>4636</v>
      </c>
      <c r="T11" s="101">
        <f t="shared" si="1"/>
        <v>370.88</v>
      </c>
      <c r="U11" s="1221"/>
      <c r="V11" s="1229"/>
      <c r="W11" s="1221"/>
      <c r="X11" s="1154"/>
      <c r="Y11" s="1155"/>
      <c r="Z11" s="1156"/>
      <c r="AA11" s="1157"/>
      <c r="AB11" s="991"/>
      <c r="AC11" s="1022"/>
      <c r="AD11" s="1024"/>
      <c r="AE11" s="82"/>
      <c r="AF11" s="650"/>
    </row>
    <row r="12" spans="1:32" ht="24.95" customHeight="1" thickBot="1" x14ac:dyDescent="0.3">
      <c r="A12" s="1297"/>
      <c r="B12" s="203">
        <v>1200</v>
      </c>
      <c r="C12" s="204">
        <v>600</v>
      </c>
      <c r="D12" s="209">
        <v>90</v>
      </c>
      <c r="E12" s="263">
        <v>100</v>
      </c>
      <c r="F12" s="263">
        <v>16.075102880658438</v>
      </c>
      <c r="G12" s="264" t="s">
        <v>184</v>
      </c>
      <c r="H12" s="604" t="str">
        <f>IF(OR('КРОВЛЯ Рязань'!$T$6="Завод 'ТЕХНО' г.Рязань",'КРОВЛЯ Рязань'!$T$6="Завод 'ТЕХНО' г.Заинск"),'КРОВЛЯ Рязань'!E12,'КРОВЛЯ Юрга'!E12)</f>
        <v>C</v>
      </c>
      <c r="I12" s="592">
        <f>IF(OR('КРОВЛЯ Рязань'!$T$6="Завод 'ТЕХНО' г.Рязань",'КРОВЛЯ Рязань'!$T$6="Завод 'ТЕХНО' г.Заинск"),'КРОВЛЯ Рязань'!I12,'КРОВЛЯ Юрга'!I12)</f>
        <v>87.091200000000015</v>
      </c>
      <c r="J12" s="177">
        <v>317.26079999999996</v>
      </c>
      <c r="K12" s="97">
        <v>3</v>
      </c>
      <c r="L12" s="181">
        <f t="shared" si="2"/>
        <v>2.16</v>
      </c>
      <c r="M12" s="198">
        <f t="shared" si="3"/>
        <v>0.19440000000000002</v>
      </c>
      <c r="N12" s="97">
        <v>32</v>
      </c>
      <c r="O12" s="166">
        <f t="shared" si="4"/>
        <v>6.2208000000000006</v>
      </c>
      <c r="P12" s="231">
        <f t="shared" si="5"/>
        <v>68.42880000000001</v>
      </c>
      <c r="Q12" s="266"/>
      <c r="R12" s="88">
        <f t="shared" si="0"/>
        <v>901.23840000000007</v>
      </c>
      <c r="S12" s="786">
        <f>IFERROR(IF(OR('КРОВЛЯ Рязань'!$T$6="Завод 'ТЕХНО' г.Рязань",'КРОВЛЯ Рязань'!$T$6="Завод 'ТЕХНО' г.Заинск"),IF('КРОВЛЯ Рязань'!$T$6="Завод 'ТЕХНО' г.Рязань",'КРОВЛЯ Рязань'!R12*(1-'КРОВЛЯ Рязань'!$V$5-'КРОВЛЯ Рязань'!V12)+IFERROR(SEARCH("комп",J12)/SEARCH("комп",J12)*'КРОВЛЯ Рязань'!$R$5,'КРОВЛЯ Рязань'!S$5),'КРОВЛЯ Заинск'!R12*(1-'КРОВЛЯ Рязань'!$V$5-'КРОВЛЯ Рязань'!V12)+IFERROR(SEARCH("комп",J12)/SEARCH("комп",J12)*'КРОВЛЯ Рязань'!$R$5,'КРОВЛЯ Рязань'!S$5)),'КРОВЛЯ Юрга'!R12*(1-'КРОВЛЯ Рязань'!$V$5-'КРОВЛЯ Рязань'!V12)+IFERROR(SEARCH("комп",J12)/SEARCH("комп",J12)*'КРОВЛЯ Рязань'!$R$5,'КРОВЛЯ Рязань'!S$5)),"нет")</f>
        <v>4636</v>
      </c>
      <c r="T12" s="101">
        <f t="shared" si="1"/>
        <v>417.24</v>
      </c>
      <c r="U12" s="1221"/>
      <c r="V12" s="1229"/>
      <c r="W12" s="1221"/>
      <c r="X12" s="1154"/>
      <c r="Y12" s="1155"/>
      <c r="Z12" s="1156"/>
      <c r="AA12" s="1157"/>
      <c r="AB12" s="991"/>
      <c r="AC12" s="1022"/>
      <c r="AD12" s="1024"/>
      <c r="AE12" s="2"/>
      <c r="AF12" s="2"/>
    </row>
    <row r="13" spans="1:32" ht="24.95" customHeight="1" thickBot="1" x14ac:dyDescent="0.3">
      <c r="A13" s="1297"/>
      <c r="B13" s="203">
        <v>1200</v>
      </c>
      <c r="C13" s="204">
        <v>600</v>
      </c>
      <c r="D13" s="209">
        <v>100</v>
      </c>
      <c r="E13" s="263"/>
      <c r="F13" s="263">
        <v>0</v>
      </c>
      <c r="G13" s="264" t="s">
        <v>185</v>
      </c>
      <c r="H13" s="604" t="str">
        <f>IF(OR('КРОВЛЯ Рязань'!$T$6="Завод 'ТЕХНО' г.Рязань",'КРОВЛЯ Рязань'!$T$6="Завод 'ТЕХНО' г.Заинск"),'КРОВЛЯ Рязань'!E13,'КРОВЛЯ Юрга'!E13)</f>
        <v>Б</v>
      </c>
      <c r="I13" s="592" t="str">
        <f>IF(OR('КРОВЛЯ Рязань'!$T$6="Завод 'ТЕХНО' г.Рязань",'КРОВЛЯ Рязань'!$T$6="Завод 'ТЕХНО' г.Заинск"),'КРОВЛЯ Рязань'!I13,'КРОВЛЯ Юрга'!I13)</f>
        <v xml:space="preserve"> </v>
      </c>
      <c r="J13" s="177"/>
      <c r="K13" s="97">
        <v>3</v>
      </c>
      <c r="L13" s="181">
        <f t="shared" si="2"/>
        <v>2.16</v>
      </c>
      <c r="M13" s="198">
        <f t="shared" si="3"/>
        <v>0.216</v>
      </c>
      <c r="N13" s="97">
        <v>32</v>
      </c>
      <c r="O13" s="166">
        <f t="shared" si="4"/>
        <v>6.9119999999999999</v>
      </c>
      <c r="P13" s="231">
        <f t="shared" si="5"/>
        <v>76.031999999999996</v>
      </c>
      <c r="Q13" s="266"/>
      <c r="R13" s="88">
        <f t="shared" si="0"/>
        <v>1001.376</v>
      </c>
      <c r="S13" s="786">
        <f>IFERROR(IF(OR('КРОВЛЯ Рязань'!$T$6="Завод 'ТЕХНО' г.Рязань",'КРОВЛЯ Рязань'!$T$6="Завод 'ТЕХНО' г.Заинск"),IF('КРОВЛЯ Рязань'!$T$6="Завод 'ТЕХНО' г.Рязань",'КРОВЛЯ Рязань'!R13*(1-'КРОВЛЯ Рязань'!$V$5-'КРОВЛЯ Рязань'!V13)+IFERROR(SEARCH("комп",J13)/SEARCH("комп",J13)*'КРОВЛЯ Рязань'!$R$5,'КРОВЛЯ Рязань'!S$5),'КРОВЛЯ Заинск'!R13*(1-'КРОВЛЯ Рязань'!$V$5-'КРОВЛЯ Рязань'!V13)+IFERROR(SEARCH("комп",J13)/SEARCH("комп",J13)*'КРОВЛЯ Рязань'!$R$5,'КРОВЛЯ Рязань'!S$5)),'КРОВЛЯ Юрга'!R13*(1-'КРОВЛЯ Рязань'!$V$5-'КРОВЛЯ Рязань'!V13)+IFERROR(SEARCH("комп",J13)/SEARCH("комп",J13)*'КРОВЛЯ Рязань'!$R$5,'КРОВЛЯ Рязань'!S$5)),"нет")</f>
        <v>4636</v>
      </c>
      <c r="T13" s="101">
        <f t="shared" si="1"/>
        <v>463.6</v>
      </c>
      <c r="U13" s="1221"/>
      <c r="V13" s="1229"/>
      <c r="W13" s="1221"/>
      <c r="X13" s="1154"/>
      <c r="Y13" s="1155"/>
      <c r="Z13" s="1156"/>
      <c r="AA13" s="1157"/>
      <c r="AB13" s="991"/>
      <c r="AC13" s="1022"/>
      <c r="AD13" s="1024"/>
      <c r="AE13" s="82"/>
      <c r="AF13" s="650"/>
    </row>
    <row r="14" spans="1:32" ht="24.95" customHeight="1" thickBot="1" x14ac:dyDescent="0.3">
      <c r="A14" s="1297"/>
      <c r="B14" s="203">
        <v>1200</v>
      </c>
      <c r="C14" s="204">
        <v>600</v>
      </c>
      <c r="D14" s="209">
        <v>110</v>
      </c>
      <c r="E14" s="263">
        <v>100</v>
      </c>
      <c r="F14" s="263">
        <v>15.031265031265031</v>
      </c>
      <c r="G14" s="264" t="s">
        <v>186</v>
      </c>
      <c r="H14" s="604" t="str">
        <f>IF(OR('КРОВЛЯ Рязань'!$T$6="Завод 'ТЕХНО' г.Рязань",'КРОВЛЯ Рязань'!$T$6="Завод 'ТЕХНО' г.Заинск"),'КРОВЛЯ Рязань'!E14,'КРОВЛЯ Юрга'!E14)</f>
        <v>Б</v>
      </c>
      <c r="I14" s="592" t="str">
        <f>IF(OR('КРОВЛЯ Рязань'!$T$6="Завод 'ТЕХНО' г.Рязань",'КРОВЛЯ Рязань'!$T$6="Завод 'ТЕХНО' г.Заинск"),'КРОВЛЯ Рязань'!I14,'КРОВЛЯ Юрга'!I14)</f>
        <v xml:space="preserve"> </v>
      </c>
      <c r="J14" s="177">
        <v>319.33440000000002</v>
      </c>
      <c r="K14" s="97">
        <v>3</v>
      </c>
      <c r="L14" s="181">
        <f t="shared" si="2"/>
        <v>2.16</v>
      </c>
      <c r="M14" s="198">
        <f t="shared" si="3"/>
        <v>0.23760000000000003</v>
      </c>
      <c r="N14" s="97">
        <v>28</v>
      </c>
      <c r="O14" s="166">
        <f t="shared" si="4"/>
        <v>6.6528000000000009</v>
      </c>
      <c r="P14" s="231">
        <f t="shared" si="5"/>
        <v>73.180800000000005</v>
      </c>
      <c r="Q14" s="266"/>
      <c r="R14" s="88">
        <f t="shared" si="0"/>
        <v>1101.5136000000002</v>
      </c>
      <c r="S14" s="786">
        <f>IFERROR(IF(OR('КРОВЛЯ Рязань'!$T$6="Завод 'ТЕХНО' г.Рязань",'КРОВЛЯ Рязань'!$T$6="Завод 'ТЕХНО' г.Заинск"),IF('КРОВЛЯ Рязань'!$T$6="Завод 'ТЕХНО' г.Рязань",'КРОВЛЯ Рязань'!R14*(1-'КРОВЛЯ Рязань'!$V$5-'КРОВЛЯ Рязань'!V14)+IFERROR(SEARCH("комп",J14)/SEARCH("комп",J14)*'КРОВЛЯ Рязань'!$R$5,'КРОВЛЯ Рязань'!S$5),'КРОВЛЯ Заинск'!R14*(1-'КРОВЛЯ Рязань'!$V$5-'КРОВЛЯ Рязань'!V14)+IFERROR(SEARCH("комп",J14)/SEARCH("комп",J14)*'КРОВЛЯ Рязань'!$R$5,'КРОВЛЯ Рязань'!S$5)),'КРОВЛЯ Юрга'!R14*(1-'КРОВЛЯ Рязань'!$V$5-'КРОВЛЯ Рязань'!V14)+IFERROR(SEARCH("комп",J14)/SEARCH("комп",J14)*'КРОВЛЯ Рязань'!$R$5,'КРОВЛЯ Рязань'!S$5)),"нет")</f>
        <v>4636</v>
      </c>
      <c r="T14" s="101">
        <f t="shared" si="1"/>
        <v>509.96</v>
      </c>
      <c r="U14" s="1221"/>
      <c r="V14" s="1229"/>
      <c r="W14" s="1221"/>
      <c r="X14" s="1154"/>
      <c r="Y14" s="1155"/>
      <c r="Z14" s="1156"/>
      <c r="AA14" s="1157"/>
      <c r="AB14" s="991"/>
      <c r="AC14" s="1022"/>
      <c r="AD14" s="1024"/>
      <c r="AE14" s="2"/>
      <c r="AF14" s="2"/>
    </row>
    <row r="15" spans="1:32" ht="24.95" customHeight="1" thickBot="1" x14ac:dyDescent="0.3">
      <c r="A15" s="1297"/>
      <c r="B15" s="203">
        <v>1200</v>
      </c>
      <c r="C15" s="204">
        <v>600</v>
      </c>
      <c r="D15" s="209">
        <v>120</v>
      </c>
      <c r="E15" s="263">
        <v>100</v>
      </c>
      <c r="F15" s="263">
        <v>14.467592592592592</v>
      </c>
      <c r="G15" s="264" t="s">
        <v>187</v>
      </c>
      <c r="H15" s="604" t="str">
        <f>IF(OR('КРОВЛЯ Рязань'!$T$6="Завод 'ТЕХНО' г.Рязань",'КРОВЛЯ Рязань'!$T$6="Завод 'ТЕХНО' г.Заинск"),'КРОВЛЯ Рязань'!E15,'КРОВЛЯ Юрга'!E15)</f>
        <v>Б</v>
      </c>
      <c r="I15" s="592" t="str">
        <f>IF(OR('КРОВЛЯ Рязань'!$T$6="Завод 'ТЕХНО' г.Рязань",'КРОВЛЯ Рязань'!$T$6="Завод 'ТЕХНО' г.Заинск"),'КРОВЛЯ Рязань'!I15,'КРОВЛЯ Юрга'!I15)</f>
        <v xml:space="preserve"> </v>
      </c>
      <c r="J15" s="177">
        <v>331.77600000000007</v>
      </c>
      <c r="K15" s="97">
        <v>2</v>
      </c>
      <c r="L15" s="181">
        <f t="shared" si="2"/>
        <v>1.44</v>
      </c>
      <c r="M15" s="198">
        <f t="shared" si="3"/>
        <v>0.17279999999999998</v>
      </c>
      <c r="N15" s="97">
        <v>40</v>
      </c>
      <c r="O15" s="166">
        <f t="shared" si="4"/>
        <v>6.911999999999999</v>
      </c>
      <c r="P15" s="231">
        <f t="shared" si="5"/>
        <v>76.031999999999982</v>
      </c>
      <c r="Q15" s="266"/>
      <c r="R15" s="88">
        <f t="shared" si="0"/>
        <v>801.10079999999994</v>
      </c>
      <c r="S15" s="786">
        <f>IFERROR(IF(OR('КРОВЛЯ Рязань'!$T$6="Завод 'ТЕХНО' г.Рязань",'КРОВЛЯ Рязань'!$T$6="Завод 'ТЕХНО' г.Заинск"),IF('КРОВЛЯ Рязань'!$T$6="Завод 'ТЕХНО' г.Рязань",'КРОВЛЯ Рязань'!R15*(1-'КРОВЛЯ Рязань'!$V$5-'КРОВЛЯ Рязань'!V15)+IFERROR(SEARCH("комп",J15)/SEARCH("комп",J15)*'КРОВЛЯ Рязань'!$R$5,'КРОВЛЯ Рязань'!S$5),'КРОВЛЯ Заинск'!R15*(1-'КРОВЛЯ Рязань'!$V$5-'КРОВЛЯ Рязань'!V15)+IFERROR(SEARCH("комп",J15)/SEARCH("комп",J15)*'КРОВЛЯ Рязань'!$R$5,'КРОВЛЯ Рязань'!S$5)),'КРОВЛЯ Юрга'!R15*(1-'КРОВЛЯ Рязань'!$V$5-'КРОВЛЯ Рязань'!V15)+IFERROR(SEARCH("комп",J15)/SEARCH("комп",J15)*'КРОВЛЯ Рязань'!$R$5,'КРОВЛЯ Рязань'!S$5)),"нет")</f>
        <v>4636</v>
      </c>
      <c r="T15" s="101">
        <f t="shared" si="1"/>
        <v>556.32000000000005</v>
      </c>
      <c r="U15" s="1221"/>
      <c r="V15" s="1229"/>
      <c r="W15" s="1221"/>
      <c r="X15" s="1154"/>
      <c r="Y15" s="1155"/>
      <c r="Z15" s="1156"/>
      <c r="AA15" s="1157"/>
      <c r="AB15" s="991"/>
      <c r="AC15" s="1022"/>
      <c r="AD15" s="1024"/>
      <c r="AE15" s="2"/>
      <c r="AF15" s="2"/>
    </row>
    <row r="16" spans="1:32" ht="24.95" customHeight="1" thickBot="1" x14ac:dyDescent="0.3">
      <c r="A16" s="1297"/>
      <c r="B16" s="203">
        <v>1200</v>
      </c>
      <c r="C16" s="204">
        <v>600</v>
      </c>
      <c r="D16" s="209">
        <v>130</v>
      </c>
      <c r="E16" s="263">
        <v>100</v>
      </c>
      <c r="F16" s="263">
        <v>14.83855650522317</v>
      </c>
      <c r="G16" s="264" t="s">
        <v>188</v>
      </c>
      <c r="H16" s="604" t="str">
        <f>IF(OR('КРОВЛЯ Рязань'!$T$6="Завод 'ТЕХНО' г.Рязань",'КРОВЛЯ Рязань'!$T$6="Завод 'ТЕХНО' г.Заинск"),'КРОВЛЯ Рязань'!E16,'КРОВЛЯ Юрга'!E16)</f>
        <v>C</v>
      </c>
      <c r="I16" s="592">
        <f>IF(OR('КРОВЛЯ Рязань'!$T$6="Завод 'ТЕХНО' г.Рязань",'КРОВЛЯ Рязань'!$T$6="Завод 'ТЕХНО' г.Заинск"),'КРОВЛЯ Рязань'!I16,'КРОВЛЯ Юрга'!I16)</f>
        <v>87.609599999999986</v>
      </c>
      <c r="J16" s="177">
        <v>323.48160000000001</v>
      </c>
      <c r="K16" s="97">
        <v>2</v>
      </c>
      <c r="L16" s="181">
        <f t="shared" si="2"/>
        <v>1.44</v>
      </c>
      <c r="M16" s="198">
        <f t="shared" si="3"/>
        <v>0.18719999999999998</v>
      </c>
      <c r="N16" s="97">
        <v>36</v>
      </c>
      <c r="O16" s="166">
        <f t="shared" si="4"/>
        <v>6.7391999999999994</v>
      </c>
      <c r="P16" s="231">
        <f t="shared" si="5"/>
        <v>74.131199999999993</v>
      </c>
      <c r="Q16" s="266"/>
      <c r="R16" s="88">
        <f t="shared" si="0"/>
        <v>867.85919999999987</v>
      </c>
      <c r="S16" s="786">
        <f>IFERROR(IF(OR('КРОВЛЯ Рязань'!$T$6="Завод 'ТЕХНО' г.Рязань",'КРОВЛЯ Рязань'!$T$6="Завод 'ТЕХНО' г.Заинск"),IF('КРОВЛЯ Рязань'!$T$6="Завод 'ТЕХНО' г.Рязань",'КРОВЛЯ Рязань'!R16*(1-'КРОВЛЯ Рязань'!$V$5-'КРОВЛЯ Рязань'!V16)+IFERROR(SEARCH("комп",J16)/SEARCH("комп",J16)*'КРОВЛЯ Рязань'!$R$5,'КРОВЛЯ Рязань'!S$5),'КРОВЛЯ Заинск'!R16*(1-'КРОВЛЯ Рязань'!$V$5-'КРОВЛЯ Рязань'!V16)+IFERROR(SEARCH("комп",J16)/SEARCH("комп",J16)*'КРОВЛЯ Рязань'!$R$5,'КРОВЛЯ Рязань'!S$5)),'КРОВЛЯ Юрга'!R16*(1-'КРОВЛЯ Рязань'!$V$5-'КРОВЛЯ Рязань'!V16)+IFERROR(SEARCH("комп",J16)/SEARCH("комп",J16)*'КРОВЛЯ Рязань'!$R$5,'КРОВЛЯ Рязань'!S$5)),"нет")</f>
        <v>4636</v>
      </c>
      <c r="T16" s="101">
        <f t="shared" si="1"/>
        <v>602.67999999999995</v>
      </c>
      <c r="U16" s="1221"/>
      <c r="V16" s="1229"/>
      <c r="W16" s="1221"/>
      <c r="X16" s="1154"/>
      <c r="Y16" s="1155"/>
      <c r="Z16" s="1156"/>
      <c r="AA16" s="1157"/>
      <c r="AB16" s="991"/>
      <c r="AC16" s="1022"/>
      <c r="AD16" s="1024"/>
      <c r="AE16" s="2"/>
      <c r="AF16" s="2"/>
    </row>
    <row r="17" spans="1:32" ht="24.95" customHeight="1" thickBot="1" x14ac:dyDescent="0.3">
      <c r="A17" s="1297"/>
      <c r="B17" s="203">
        <v>1200</v>
      </c>
      <c r="C17" s="204">
        <v>600</v>
      </c>
      <c r="D17" s="209">
        <v>140</v>
      </c>
      <c r="E17" s="263">
        <v>100</v>
      </c>
      <c r="F17" s="263">
        <v>15.500992063492063</v>
      </c>
      <c r="G17" s="264" t="s">
        <v>189</v>
      </c>
      <c r="H17" s="604" t="str">
        <f>IF(OR('КРОВЛЯ Рязань'!$T$6="Завод 'ТЕХНО' г.Рязань",'КРОВЛЯ Рязань'!$T$6="Завод 'ТЕХНО' г.Заинск"),'КРОВЛЯ Рязань'!E17,'КРОВЛЯ Юрга'!E17)</f>
        <v>C</v>
      </c>
      <c r="I17" s="592">
        <f>IF(OR('КРОВЛЯ Рязань'!$T$6="Завод 'ТЕХНО' г.Рязань",'КРОВЛЯ Рязань'!$T$6="Завод 'ТЕХНО' г.Заинск"),'КРОВЛЯ Рязань'!I17,'КРОВЛЯ Юрга'!I17)</f>
        <v>90.316800000000001</v>
      </c>
      <c r="J17" s="177">
        <v>309.6576</v>
      </c>
      <c r="K17" s="97">
        <v>2</v>
      </c>
      <c r="L17" s="181">
        <f t="shared" si="2"/>
        <v>1.44</v>
      </c>
      <c r="M17" s="198">
        <f t="shared" si="3"/>
        <v>0.2016</v>
      </c>
      <c r="N17" s="97">
        <v>32</v>
      </c>
      <c r="O17" s="166">
        <f t="shared" si="4"/>
        <v>6.4512</v>
      </c>
      <c r="P17" s="231">
        <f t="shared" si="5"/>
        <v>70.963200000000001</v>
      </c>
      <c r="Q17" s="266"/>
      <c r="R17" s="88">
        <f t="shared" si="0"/>
        <v>934.61760000000004</v>
      </c>
      <c r="S17" s="786">
        <f>IFERROR(IF(OR('КРОВЛЯ Рязань'!$T$6="Завод 'ТЕХНО' г.Рязань",'КРОВЛЯ Рязань'!$T$6="Завод 'ТЕХНО' г.Заинск"),IF('КРОВЛЯ Рязань'!$T$6="Завод 'ТЕХНО' г.Рязань",'КРОВЛЯ Рязань'!R17*(1-'КРОВЛЯ Рязань'!$V$5-'КРОВЛЯ Рязань'!V17)+IFERROR(SEARCH("комп",J17)/SEARCH("комп",J17)*'КРОВЛЯ Рязань'!$R$5,'КРОВЛЯ Рязань'!S$5),'КРОВЛЯ Заинск'!R17*(1-'КРОВЛЯ Рязань'!$V$5-'КРОВЛЯ Рязань'!V17)+IFERROR(SEARCH("комп",J17)/SEARCH("комп",J17)*'КРОВЛЯ Рязань'!$R$5,'КРОВЛЯ Рязань'!S$5)),'КРОВЛЯ Юрга'!R17*(1-'КРОВЛЯ Рязань'!$V$5-'КРОВЛЯ Рязань'!V17)+IFERROR(SEARCH("комп",J17)/SEARCH("комп",J17)*'КРОВЛЯ Рязань'!$R$5,'КРОВЛЯ Рязань'!S$5)),"нет")</f>
        <v>4636</v>
      </c>
      <c r="T17" s="101">
        <f t="shared" si="1"/>
        <v>649.04</v>
      </c>
      <c r="U17" s="1221"/>
      <c r="V17" s="1229"/>
      <c r="W17" s="1221"/>
      <c r="X17" s="1154"/>
      <c r="Y17" s="1155"/>
      <c r="Z17" s="1156"/>
      <c r="AA17" s="1157"/>
      <c r="AB17" s="991"/>
      <c r="AC17" s="1022"/>
      <c r="AD17" s="1024"/>
      <c r="AE17" s="82"/>
      <c r="AF17" s="650"/>
    </row>
    <row r="18" spans="1:32" ht="24.95" customHeight="1" thickBot="1" x14ac:dyDescent="0.3">
      <c r="A18" s="1297"/>
      <c r="B18" s="203">
        <v>1200</v>
      </c>
      <c r="C18" s="204">
        <v>600</v>
      </c>
      <c r="D18" s="209">
        <v>150</v>
      </c>
      <c r="E18" s="263">
        <v>100</v>
      </c>
      <c r="F18" s="263">
        <v>14.467592592592593</v>
      </c>
      <c r="G18" s="264" t="s">
        <v>190</v>
      </c>
      <c r="H18" s="604" t="str">
        <f>IF(OR('КРОВЛЯ Рязань'!$T$6="Завод 'ТЕХНО' г.Рязань",'КРОВЛЯ Рязань'!$T$6="Завод 'ТЕХНО' г.Заинск"),'КРОВЛЯ Рязань'!E18,'КРОВЛЯ Юрга'!E18)</f>
        <v>C</v>
      </c>
      <c r="I18" s="592">
        <f>IF(OR('КРОВЛЯ Рязань'!$T$6="Завод 'ТЕХНО' г.Рязань",'КРОВЛЯ Рязань'!$T$6="Завод 'ТЕХНО' г.Заинск"),'КРОВЛЯ Рязань'!I18,'КРОВЛЯ Юрга'!I18)</f>
        <v>89.855999999999995</v>
      </c>
      <c r="J18" s="177">
        <v>331.77600000000001</v>
      </c>
      <c r="K18" s="97">
        <v>2</v>
      </c>
      <c r="L18" s="181">
        <f t="shared" si="2"/>
        <v>1.44</v>
      </c>
      <c r="M18" s="198">
        <f t="shared" si="3"/>
        <v>0.216</v>
      </c>
      <c r="N18" s="97">
        <v>32</v>
      </c>
      <c r="O18" s="166">
        <f t="shared" si="4"/>
        <v>6.9119999999999999</v>
      </c>
      <c r="P18" s="231">
        <f t="shared" si="5"/>
        <v>76.031999999999996</v>
      </c>
      <c r="Q18" s="266"/>
      <c r="R18" s="88">
        <f t="shared" si="0"/>
        <v>1001.376</v>
      </c>
      <c r="S18" s="786">
        <f>IFERROR(IF(OR('КРОВЛЯ Рязань'!$T$6="Завод 'ТЕХНО' г.Рязань",'КРОВЛЯ Рязань'!$T$6="Завод 'ТЕХНО' г.Заинск"),IF('КРОВЛЯ Рязань'!$T$6="Завод 'ТЕХНО' г.Рязань",'КРОВЛЯ Рязань'!R18*(1-'КРОВЛЯ Рязань'!$V$5-'КРОВЛЯ Рязань'!V18)+IFERROR(SEARCH("комп",J18)/SEARCH("комп",J18)*'КРОВЛЯ Рязань'!$R$5,'КРОВЛЯ Рязань'!S$5),'КРОВЛЯ Заинск'!R18*(1-'КРОВЛЯ Рязань'!$V$5-'КРОВЛЯ Рязань'!V18)+IFERROR(SEARCH("комп",J18)/SEARCH("комп",J18)*'КРОВЛЯ Рязань'!$R$5,'КРОВЛЯ Рязань'!S$5)),'КРОВЛЯ Юрга'!R18*(1-'КРОВЛЯ Рязань'!$V$5-'КРОВЛЯ Рязань'!V18)+IFERROR(SEARCH("комп",J18)/SEARCH("комп",J18)*'КРОВЛЯ Рязань'!$R$5,'КРОВЛЯ Рязань'!S$5)),"нет")</f>
        <v>4636</v>
      </c>
      <c r="T18" s="101">
        <f t="shared" si="1"/>
        <v>695.4</v>
      </c>
      <c r="U18" s="1221"/>
      <c r="V18" s="1229"/>
      <c r="W18" s="1221"/>
      <c r="X18" s="1154"/>
      <c r="Y18" s="1155"/>
      <c r="Z18" s="1156"/>
      <c r="AA18" s="1157"/>
      <c r="AB18" s="991"/>
      <c r="AC18" s="1022"/>
      <c r="AD18" s="1024"/>
      <c r="AE18" s="2"/>
      <c r="AF18" s="2"/>
    </row>
    <row r="19" spans="1:32" ht="24.95" customHeight="1" thickBot="1" x14ac:dyDescent="0.3">
      <c r="A19" s="1297"/>
      <c r="B19" s="203">
        <v>1200</v>
      </c>
      <c r="C19" s="204">
        <v>600</v>
      </c>
      <c r="D19" s="209">
        <v>160</v>
      </c>
      <c r="E19" s="263">
        <v>100</v>
      </c>
      <c r="F19" s="263">
        <v>15.500992063492063</v>
      </c>
      <c r="G19" s="264" t="s">
        <v>259</v>
      </c>
      <c r="H19" s="604" t="str">
        <f>IF(OR('КРОВЛЯ Рязань'!$T$6="Завод 'ТЕХНО' г.Рязань",'КРОВЛЯ Рязань'!$T$6="Завод 'ТЕХНО' г.Заинск"),'КРОВЛЯ Рязань'!E19,'КРОВЛЯ Юрга'!E19)</f>
        <v>C</v>
      </c>
      <c r="I19" s="592">
        <f>IF(OR('КРОВЛЯ Рязань'!$T$6="Завод 'ТЕХНО' г.Рязань",'КРОВЛЯ Рязань'!$T$6="Завод 'ТЕХНО' г.Заинск"),'КРОВЛЯ Рязань'!I19,'КРОВЛЯ Юрга'!I19)</f>
        <v>90.316799999999986</v>
      </c>
      <c r="J19" s="177">
        <v>309.6576</v>
      </c>
      <c r="K19" s="97">
        <v>2</v>
      </c>
      <c r="L19" s="181">
        <f t="shared" si="2"/>
        <v>1.44</v>
      </c>
      <c r="M19" s="198">
        <f t="shared" si="3"/>
        <v>0.23039999999999997</v>
      </c>
      <c r="N19" s="97">
        <v>28</v>
      </c>
      <c r="O19" s="166">
        <f t="shared" si="4"/>
        <v>6.4511999999999992</v>
      </c>
      <c r="P19" s="231">
        <f t="shared" si="5"/>
        <v>70.963199999999986</v>
      </c>
      <c r="Q19" s="266"/>
      <c r="R19" s="88">
        <f t="shared" si="0"/>
        <v>1068.1343999999999</v>
      </c>
      <c r="S19" s="786">
        <f>IFERROR(IF(OR('КРОВЛЯ Рязань'!$T$6="Завод 'ТЕХНО' г.Рязань",'КРОВЛЯ Рязань'!$T$6="Завод 'ТЕХНО' г.Заинск"),IF('КРОВЛЯ Рязань'!$T$6="Завод 'ТЕХНО' г.Рязань",'КРОВЛЯ Рязань'!R19*(1-'КРОВЛЯ Рязань'!$V$5-'КРОВЛЯ Рязань'!V19)+IFERROR(SEARCH("комп",J19)/SEARCH("комп",J19)*'КРОВЛЯ Рязань'!$R$5,'КРОВЛЯ Рязань'!S$5),'КРОВЛЯ Заинск'!R19*(1-'КРОВЛЯ Рязань'!$V$5-'КРОВЛЯ Рязань'!V19)+IFERROR(SEARCH("комп",J19)/SEARCH("комп",J19)*'КРОВЛЯ Рязань'!$R$5,'КРОВЛЯ Рязань'!S$5)),'КРОВЛЯ Юрга'!R19*(1-'КРОВЛЯ Рязань'!$V$5-'КРОВЛЯ Рязань'!V19)+IFERROR(SEARCH("комп",J19)/SEARCH("комп",J19)*'КРОВЛЯ Рязань'!$R$5,'КРОВЛЯ Рязань'!S$5)),"нет")</f>
        <v>4636</v>
      </c>
      <c r="T19" s="101">
        <f t="shared" si="1"/>
        <v>741.76</v>
      </c>
      <c r="U19" s="1221"/>
      <c r="V19" s="1229"/>
      <c r="W19" s="1221"/>
      <c r="X19" s="1154"/>
      <c r="Y19" s="1155"/>
      <c r="Z19" s="1156"/>
      <c r="AA19" s="1157"/>
      <c r="AB19" s="991"/>
      <c r="AC19" s="1022"/>
      <c r="AD19" s="1024"/>
      <c r="AE19" s="2"/>
      <c r="AF19" s="2"/>
    </row>
    <row r="20" spans="1:32" ht="24.95" customHeight="1" thickBot="1" x14ac:dyDescent="0.3">
      <c r="A20" s="1297"/>
      <c r="B20" s="203">
        <v>1200</v>
      </c>
      <c r="C20" s="204">
        <v>600</v>
      </c>
      <c r="D20" s="209">
        <v>170</v>
      </c>
      <c r="E20" s="263">
        <v>100</v>
      </c>
      <c r="F20" s="263">
        <v>14.589169000933706</v>
      </c>
      <c r="G20" s="264" t="s">
        <v>191</v>
      </c>
      <c r="H20" s="604" t="str">
        <f>IF(OR('КРОВЛЯ Рязань'!$T$6="Завод 'ТЕХНО' г.Рязань",'КРОВЛЯ Рязань'!$T$6="Завод 'ТЕХНО' г.Заинск"),'КРОВЛЯ Рязань'!E20,'КРОВЛЯ Юрга'!E20)</f>
        <v>C</v>
      </c>
      <c r="I20" s="592">
        <f>IF(OR('КРОВЛЯ Рязань'!$T$6="Завод 'ТЕХНО' г.Рязань",'КРОВЛЯ Рязань'!$T$6="Завод 'ТЕХНО' г.Заинск"),'КРОВЛЯ Рязань'!I20,'КРОВЛЯ Юрга'!I20)</f>
        <v>89.107200000000006</v>
      </c>
      <c r="J20" s="177">
        <v>329.01120000000003</v>
      </c>
      <c r="K20" s="97">
        <v>2</v>
      </c>
      <c r="L20" s="181">
        <f t="shared" si="2"/>
        <v>1.44</v>
      </c>
      <c r="M20" s="198">
        <f t="shared" si="3"/>
        <v>0.24479999999999999</v>
      </c>
      <c r="N20" s="97">
        <v>28</v>
      </c>
      <c r="O20" s="166">
        <f t="shared" si="4"/>
        <v>6.8544</v>
      </c>
      <c r="P20" s="231">
        <f t="shared" si="5"/>
        <v>75.398399999999995</v>
      </c>
      <c r="Q20" s="266"/>
      <c r="R20" s="88">
        <f t="shared" si="0"/>
        <v>1134.8927999999999</v>
      </c>
      <c r="S20" s="786">
        <f>IFERROR(IF(OR('КРОВЛЯ Рязань'!$T$6="Завод 'ТЕХНО' г.Рязань",'КРОВЛЯ Рязань'!$T$6="Завод 'ТЕХНО' г.Заинск"),IF('КРОВЛЯ Рязань'!$T$6="Завод 'ТЕХНО' г.Рязань",'КРОВЛЯ Рязань'!R20*(1-'КРОВЛЯ Рязань'!$V$5-'КРОВЛЯ Рязань'!V20)+IFERROR(SEARCH("комп",J20)/SEARCH("комп",J20)*'КРОВЛЯ Рязань'!$R$5,'КРОВЛЯ Рязань'!S$5),'КРОВЛЯ Заинск'!R20*(1-'КРОВЛЯ Рязань'!$V$5-'КРОВЛЯ Рязань'!V20)+IFERROR(SEARCH("комп",J20)/SEARCH("комп",J20)*'КРОВЛЯ Рязань'!$R$5,'КРОВЛЯ Рязань'!S$5)),'КРОВЛЯ Юрга'!R20*(1-'КРОВЛЯ Рязань'!$V$5-'КРОВЛЯ Рязань'!V20)+IFERROR(SEARCH("комп",J20)/SEARCH("комп",J20)*'КРОВЛЯ Рязань'!$R$5,'КРОВЛЯ Рязань'!S$5)),"нет")</f>
        <v>4636</v>
      </c>
      <c r="T20" s="101">
        <f t="shared" si="1"/>
        <v>788.12</v>
      </c>
      <c r="U20" s="1221"/>
      <c r="V20" s="1229"/>
      <c r="W20" s="1221"/>
      <c r="X20" s="1154"/>
      <c r="Y20" s="1155"/>
      <c r="Z20" s="1156"/>
      <c r="AA20" s="1157"/>
      <c r="AB20" s="991"/>
      <c r="AC20" s="1022"/>
      <c r="AD20" s="1024"/>
      <c r="AE20" s="2"/>
      <c r="AF20" s="2"/>
    </row>
    <row r="21" spans="1:32" ht="24.95" customHeight="1" thickBot="1" x14ac:dyDescent="0.3">
      <c r="A21" s="1297"/>
      <c r="B21" s="240">
        <v>1200</v>
      </c>
      <c r="C21" s="241">
        <v>600</v>
      </c>
      <c r="D21" s="242">
        <v>180</v>
      </c>
      <c r="E21" s="289">
        <v>100</v>
      </c>
      <c r="F21" s="289">
        <v>16.075102880658438</v>
      </c>
      <c r="G21" s="317" t="s">
        <v>260</v>
      </c>
      <c r="H21" s="604" t="str">
        <f>IF(OR('КРОВЛЯ Рязань'!$T$6="Завод 'ТЕХНО' г.Рязань",'КРОВЛЯ Рязань'!$T$6="Завод 'ТЕХНО' г.Заинск"),'КРОВЛЯ Рязань'!E21,'КРОВЛЯ Юрга'!E21)</f>
        <v>C</v>
      </c>
      <c r="I21" s="593">
        <f>IF(OR('КРОВЛЯ Рязань'!$T$6="Завод 'ТЕХНО' г.Рязань",'КРОВЛЯ Рязань'!$T$6="Завод 'ТЕХНО' г.Заинск"),'КРОВЛЯ Рязань'!I21,'КРОВЛЯ Юрга'!I21)</f>
        <v>87.091200000000001</v>
      </c>
      <c r="J21" s="455">
        <v>298.59839999999997</v>
      </c>
      <c r="K21" s="306">
        <v>2</v>
      </c>
      <c r="L21" s="183">
        <f t="shared" si="2"/>
        <v>1.44</v>
      </c>
      <c r="M21" s="184">
        <f t="shared" si="3"/>
        <v>0.25919999999999999</v>
      </c>
      <c r="N21" s="306">
        <v>24</v>
      </c>
      <c r="O21" s="167">
        <f t="shared" si="4"/>
        <v>6.2207999999999997</v>
      </c>
      <c r="P21" s="260">
        <f t="shared" si="5"/>
        <v>68.428799999999995</v>
      </c>
      <c r="Q21" s="308"/>
      <c r="R21" s="479">
        <f t="shared" si="0"/>
        <v>1201.6512</v>
      </c>
      <c r="S21" s="787">
        <f>IFERROR(IF(OR('КРОВЛЯ Рязань'!$T$6="Завод 'ТЕХНО' г.Рязань",'КРОВЛЯ Рязань'!$T$6="Завод 'ТЕХНО' г.Заинск"),IF('КРОВЛЯ Рязань'!$T$6="Завод 'ТЕХНО' г.Рязань",'КРОВЛЯ Рязань'!R21*(1-'КРОВЛЯ Рязань'!$V$5-'КРОВЛЯ Рязань'!V21)+IFERROR(SEARCH("комп",J21)/SEARCH("комп",J21)*'КРОВЛЯ Рязань'!$R$5,'КРОВЛЯ Рязань'!S$5),'КРОВЛЯ Заинск'!R21*(1-'КРОВЛЯ Рязань'!$V$5-'КРОВЛЯ Рязань'!V21)+IFERROR(SEARCH("комп",J21)/SEARCH("комп",J21)*'КРОВЛЯ Рязань'!$R$5,'КРОВЛЯ Рязань'!S$5)),'КРОВЛЯ Юрга'!R21*(1-'КРОВЛЯ Рязань'!$V$5-'КРОВЛЯ Рязань'!V21)+IFERROR(SEARCH("комп",J21)/SEARCH("комп",J21)*'КРОВЛЯ Рязань'!$R$5,'КРОВЛЯ Рязань'!S$5)),"нет")</f>
        <v>4636</v>
      </c>
      <c r="T21" s="102">
        <f t="shared" si="1"/>
        <v>834.48</v>
      </c>
      <c r="U21" s="1221"/>
      <c r="V21" s="1229"/>
      <c r="W21" s="1221"/>
      <c r="X21" s="1154"/>
      <c r="Y21" s="1155"/>
      <c r="Z21" s="1156"/>
      <c r="AA21" s="1157"/>
      <c r="AB21" s="991"/>
      <c r="AC21" s="1022"/>
      <c r="AD21" s="1024"/>
      <c r="AE21" s="2"/>
      <c r="AF21" s="2"/>
    </row>
    <row r="22" spans="1:32" ht="24.95" customHeight="1" thickBot="1" x14ac:dyDescent="0.3">
      <c r="A22" s="35" t="s">
        <v>723</v>
      </c>
      <c r="B22" s="9">
        <v>1200</v>
      </c>
      <c r="C22" s="10">
        <v>600</v>
      </c>
      <c r="D22" s="11">
        <v>50</v>
      </c>
      <c r="E22" s="106"/>
      <c r="F22" s="106"/>
      <c r="G22" s="210" t="s">
        <v>725</v>
      </c>
      <c r="H22" s="604" t="str">
        <f>IF(OR('КРОВЛЯ Рязань'!$T$6="Завод 'ТЕХНО' г.Рязань",'КРОВЛЯ Рязань'!$T$6="Завод 'ТЕХНО' г.Заинск"),'КРОВЛЯ Рязань'!E22,'КРОВЛЯ Юрга'!E22)</f>
        <v>C</v>
      </c>
      <c r="I22" s="594">
        <f>IF(OR('КРОВЛЯ Рязань'!$T$6="Завод 'ТЕХНО' г.Рязань",'КРОВЛЯ Рязань'!$T$6="Завод 'ТЕХНО' г.Заинск"),'КРОВЛЯ Рязань'!I22,'КРОВЛЯ Юрга'!I22)</f>
        <v>89.855999999999995</v>
      </c>
      <c r="J22" s="196"/>
      <c r="K22" s="45">
        <v>6</v>
      </c>
      <c r="L22" s="185">
        <f>B22*C22*K22/1000000</f>
        <v>4.32</v>
      </c>
      <c r="M22" s="188">
        <f>D22*L22/1000</f>
        <v>0.216</v>
      </c>
      <c r="N22" s="45">
        <v>32</v>
      </c>
      <c r="O22" s="179">
        <f>M22*N22</f>
        <v>6.9119999999999999</v>
      </c>
      <c r="P22" s="229">
        <f>O22*11</f>
        <v>76.031999999999996</v>
      </c>
      <c r="Q22" s="46"/>
      <c r="R22" s="88">
        <f>IFERROR(M22*S22,"---")</f>
        <v>1030.9680000000001</v>
      </c>
      <c r="S22" s="786">
        <f>IFERROR(IF(OR('КРОВЛЯ Рязань'!$T$6="Завод 'ТЕХНО' г.Рязань",'КРОВЛЯ Рязань'!$T$6="Завод 'ТЕХНО' г.Заинск"),IF('КРОВЛЯ Рязань'!$T$6="Завод 'ТЕХНО' г.Рязань",'КРОВЛЯ Рязань'!R22*(1-'КРОВЛЯ Рязань'!$V$5-'КРОВЛЯ Рязань'!V22)+IFERROR(SEARCH("комп",J22)/SEARCH("комп",J22)*'КРОВЛЯ Рязань'!$R$5,'КРОВЛЯ Рязань'!S$5),'КРОВЛЯ Заинск'!R22*(1-'КРОВЛЯ Рязань'!$V$5-'КРОВЛЯ Рязань'!V22)+IFERROR(SEARCH("комп",J22)/SEARCH("комп",J22)*'КРОВЛЯ Рязань'!$R$5,'КРОВЛЯ Рязань'!S$5)),'КРОВЛЯ Юрга'!R22*(1-'КРОВЛЯ Рязань'!$V$5-'КРОВЛЯ Рязань'!V22)+IFERROR(SEARCH("комп",J22)/SEARCH("комп",J22)*'КРОВЛЯ Рязань'!$R$5,'КРОВЛЯ Рязань'!S$5)),"нет")</f>
        <v>4773</v>
      </c>
      <c r="T22" s="101">
        <f>IFERROR(S22*D22/1000,"---")</f>
        <v>238.65</v>
      </c>
      <c r="U22" s="1221"/>
      <c r="V22" s="1229"/>
      <c r="W22" s="1221"/>
      <c r="X22" s="1154"/>
      <c r="Y22" s="1155"/>
      <c r="Z22" s="1156"/>
      <c r="AA22" s="1157"/>
      <c r="AB22" s="991"/>
      <c r="AC22" s="1022"/>
      <c r="AD22" s="1036"/>
      <c r="AE22" s="82"/>
      <c r="AF22" s="650"/>
    </row>
    <row r="23" spans="1:32" ht="24.95" customHeight="1" thickBot="1" x14ac:dyDescent="0.3">
      <c r="A23" s="1297" t="s">
        <v>724</v>
      </c>
      <c r="B23" s="203">
        <v>1200</v>
      </c>
      <c r="C23" s="204">
        <v>600</v>
      </c>
      <c r="D23" s="209">
        <v>60</v>
      </c>
      <c r="E23" s="263"/>
      <c r="F23" s="263"/>
      <c r="G23" s="264" t="s">
        <v>726</v>
      </c>
      <c r="H23" s="604" t="str">
        <f>IF(OR('КРОВЛЯ Рязань'!$T$6="Завод 'ТЕХНО' г.Рязань",'КРОВЛЯ Рязань'!$T$6="Завод 'ТЕХНО' г.Заинск"),'КРОВЛЯ Рязань'!E23,'КРОВЛЯ Юрга'!E23)</f>
        <v>C</v>
      </c>
      <c r="I23" s="592">
        <f>IF(OR('КРОВЛЯ Рязань'!$T$6="Завод 'ТЕХНО' г.Рязань",'КРОВЛЯ Рязань'!$T$6="Завод 'ТЕХНО' г.Заинск"),'КРОВЛЯ Рязань'!I23,'КРОВЛЯ Юрга'!I23)</f>
        <v>89.855999999999995</v>
      </c>
      <c r="J23" s="177"/>
      <c r="K23" s="97">
        <v>4</v>
      </c>
      <c r="L23" s="181">
        <f>B23*C23*K23/1000000</f>
        <v>2.88</v>
      </c>
      <c r="M23" s="198">
        <f>D23*L23/1000</f>
        <v>0.17279999999999998</v>
      </c>
      <c r="N23" s="97">
        <v>40</v>
      </c>
      <c r="O23" s="166">
        <f>M23*N23</f>
        <v>6.911999999999999</v>
      </c>
      <c r="P23" s="231">
        <f>O23*11</f>
        <v>76.031999999999982</v>
      </c>
      <c r="Q23" s="266"/>
      <c r="R23" s="88">
        <f t="shared" ref="R23:R32" si="6">IFERROR(M23*S23,"---")</f>
        <v>824.7743999999999</v>
      </c>
      <c r="S23" s="786">
        <f>IFERROR(IF(OR('КРОВЛЯ Рязань'!$T$6="Завод 'ТЕХНО' г.Рязань",'КРОВЛЯ Рязань'!$T$6="Завод 'ТЕХНО' г.Заинск"),IF('КРОВЛЯ Рязань'!$T$6="Завод 'ТЕХНО' г.Рязань",'КРОВЛЯ Рязань'!R23*(1-'КРОВЛЯ Рязань'!$V$5-'КРОВЛЯ Рязань'!V23)+IFERROR(SEARCH("комп",J23)/SEARCH("комп",J23)*'КРОВЛЯ Рязань'!$R$5,'КРОВЛЯ Рязань'!S$5),'КРОВЛЯ Заинск'!R23*(1-'КРОВЛЯ Рязань'!$V$5-'КРОВЛЯ Рязань'!V23)+IFERROR(SEARCH("комп",J23)/SEARCH("комп",J23)*'КРОВЛЯ Рязань'!$R$5,'КРОВЛЯ Рязань'!S$5)),'КРОВЛЯ Юрга'!R23*(1-'КРОВЛЯ Рязань'!$V$5-'КРОВЛЯ Рязань'!V23)+IFERROR(SEARCH("комп",J23)/SEARCH("комп",J23)*'КРОВЛЯ Рязань'!$R$5,'КРОВЛЯ Рязань'!S$5)),"нет")</f>
        <v>4773</v>
      </c>
      <c r="T23" s="101">
        <f t="shared" ref="T23:T32" si="7">IFERROR(S23*D23/1000,"---")</f>
        <v>286.38</v>
      </c>
      <c r="U23" s="1221"/>
      <c r="V23" s="1229"/>
      <c r="W23" s="1221"/>
      <c r="X23" s="1154"/>
      <c r="Y23" s="1155"/>
      <c r="Z23" s="1156"/>
      <c r="AA23" s="1157"/>
      <c r="AB23" s="991"/>
      <c r="AC23" s="1022"/>
      <c r="AD23" s="1024"/>
      <c r="AE23" s="82"/>
      <c r="AF23" s="650"/>
    </row>
    <row r="24" spans="1:32" ht="24.95" customHeight="1" thickBot="1" x14ac:dyDescent="0.3">
      <c r="A24" s="1297"/>
      <c r="B24" s="203">
        <v>1200</v>
      </c>
      <c r="C24" s="204">
        <v>600</v>
      </c>
      <c r="D24" s="209">
        <v>70</v>
      </c>
      <c r="E24" s="263"/>
      <c r="F24" s="263"/>
      <c r="G24" s="264" t="s">
        <v>727</v>
      </c>
      <c r="H24" s="604" t="str">
        <f>IF(OR('КРОВЛЯ Рязань'!$T$6="Завод 'ТЕХНО' г.Рязань",'КРОВЛЯ Рязань'!$T$6="Завод 'ТЕХНО' г.Заинск"),'КРОВЛЯ Рязань'!E24,'КРОВЛЯ Юрга'!E24)</f>
        <v>C</v>
      </c>
      <c r="I24" s="592">
        <f>IF(OR('КРОВЛЯ Рязань'!$T$6="Завод 'ТЕХНО' г.Рязань",'КРОВЛЯ Рязань'!$T$6="Завод 'ТЕХНО' г.Заинск"),'КРОВЛЯ Рязань'!I24,'КРОВЛЯ Юрга'!I24)</f>
        <v>90.316800000000001</v>
      </c>
      <c r="J24" s="177">
        <v>290.30399999999997</v>
      </c>
      <c r="K24" s="97">
        <v>4</v>
      </c>
      <c r="L24" s="181">
        <f t="shared" ref="L24:L32" si="8">B24*C24*K24/1000000</f>
        <v>2.88</v>
      </c>
      <c r="M24" s="198">
        <f t="shared" ref="M24:M32" si="9">D24*L24/1000</f>
        <v>0.2016</v>
      </c>
      <c r="N24" s="97">
        <v>32</v>
      </c>
      <c r="O24" s="166">
        <f t="shared" ref="O24:O32" si="10">M24*N24</f>
        <v>6.4512</v>
      </c>
      <c r="P24" s="231">
        <f t="shared" ref="P24:P32" si="11">O24*11</f>
        <v>70.963200000000001</v>
      </c>
      <c r="Q24" s="266"/>
      <c r="R24" s="88">
        <f t="shared" si="6"/>
        <v>962.23680000000002</v>
      </c>
      <c r="S24" s="786">
        <f>IFERROR(IF(OR('КРОВЛЯ Рязань'!$T$6="Завод 'ТЕХНО' г.Рязань",'КРОВЛЯ Рязань'!$T$6="Завод 'ТЕХНО' г.Заинск"),IF('КРОВЛЯ Рязань'!$T$6="Завод 'ТЕХНО' г.Рязань",'КРОВЛЯ Рязань'!R24*(1-'КРОВЛЯ Рязань'!$V$5-'КРОВЛЯ Рязань'!V24)+IFERROR(SEARCH("комп",J24)/SEARCH("комп",J24)*'КРОВЛЯ Рязань'!$R$5,'КРОВЛЯ Рязань'!S$5),'КРОВЛЯ Заинск'!R24*(1-'КРОВЛЯ Рязань'!$V$5-'КРОВЛЯ Рязань'!V24)+IFERROR(SEARCH("комп",J24)/SEARCH("комп",J24)*'КРОВЛЯ Рязань'!$R$5,'КРОВЛЯ Рязань'!S$5)),'КРОВЛЯ Юрга'!R24*(1-'КРОВЛЯ Рязань'!$V$5-'КРОВЛЯ Рязань'!V24)+IFERROR(SEARCH("комп",J24)/SEARCH("комп",J24)*'КРОВЛЯ Рязань'!$R$5,'КРОВЛЯ Рязань'!S$5)),"нет")</f>
        <v>4773</v>
      </c>
      <c r="T24" s="101">
        <f t="shared" si="7"/>
        <v>334.11</v>
      </c>
      <c r="U24" s="1221"/>
      <c r="V24" s="1229"/>
      <c r="W24" s="1221"/>
      <c r="X24" s="1154"/>
      <c r="Y24" s="1155"/>
      <c r="Z24" s="1156"/>
      <c r="AA24" s="1157"/>
      <c r="AB24" s="991"/>
      <c r="AC24" s="1022"/>
      <c r="AD24" s="1024"/>
      <c r="AE24" s="2"/>
      <c r="AF24" s="2"/>
    </row>
    <row r="25" spans="1:32" ht="24.95" customHeight="1" thickBot="1" x14ac:dyDescent="0.3">
      <c r="A25" s="1297"/>
      <c r="B25" s="203">
        <v>1200</v>
      </c>
      <c r="C25" s="204">
        <v>600</v>
      </c>
      <c r="D25" s="209">
        <v>80</v>
      </c>
      <c r="E25" s="263">
        <v>100</v>
      </c>
      <c r="F25" s="263">
        <v>14.467592592592592</v>
      </c>
      <c r="G25" s="264" t="s">
        <v>728</v>
      </c>
      <c r="H25" s="604" t="str">
        <f>IF(OR('КРОВЛЯ Рязань'!$T$6="Завод 'ТЕХНО' г.Рязань",'КРОВЛЯ Рязань'!$T$6="Завод 'ТЕХНО' г.Заинск"),'КРОВЛЯ Рязань'!E25,'КРОВЛЯ Юрга'!E25)</f>
        <v>C</v>
      </c>
      <c r="I25" s="592">
        <f>IF(OR('КРОВЛЯ Рязань'!$T$6="Завод 'ТЕХНО' г.Рязань",'КРОВЛЯ Рязань'!$T$6="Завод 'ТЕХНО' г.Заинск"),'КРОВЛЯ Рязань'!I25,'КРОВЛЯ Юрга'!I25)</f>
        <v>89.856000000000009</v>
      </c>
      <c r="J25" s="177"/>
      <c r="K25" s="97">
        <v>3</v>
      </c>
      <c r="L25" s="181">
        <f t="shared" si="8"/>
        <v>2.16</v>
      </c>
      <c r="M25" s="198">
        <f t="shared" si="9"/>
        <v>0.17280000000000001</v>
      </c>
      <c r="N25" s="97">
        <v>40</v>
      </c>
      <c r="O25" s="166">
        <f t="shared" si="10"/>
        <v>6.9120000000000008</v>
      </c>
      <c r="P25" s="231">
        <f t="shared" si="11"/>
        <v>76.032000000000011</v>
      </c>
      <c r="Q25" s="266"/>
      <c r="R25" s="88">
        <f t="shared" si="6"/>
        <v>824.77440000000001</v>
      </c>
      <c r="S25" s="786">
        <f>IFERROR(IF(OR('КРОВЛЯ Рязань'!$T$6="Завод 'ТЕХНО' г.Рязань",'КРОВЛЯ Рязань'!$T$6="Завод 'ТЕХНО' г.Заинск"),IF('КРОВЛЯ Рязань'!$T$6="Завод 'ТЕХНО' г.Рязань",'КРОВЛЯ Рязань'!R25*(1-'КРОВЛЯ Рязань'!$V$5-'КРОВЛЯ Рязань'!V25)+IFERROR(SEARCH("комп",J25)/SEARCH("комп",J25)*'КРОВЛЯ Рязань'!$R$5,'КРОВЛЯ Рязань'!S$5),'КРОВЛЯ Заинск'!R25*(1-'КРОВЛЯ Рязань'!$V$5-'КРОВЛЯ Рязань'!V25)+IFERROR(SEARCH("комп",J25)/SEARCH("комп",J25)*'КРОВЛЯ Рязань'!$R$5,'КРОВЛЯ Рязань'!S$5)),'КРОВЛЯ Юрга'!R25*(1-'КРОВЛЯ Рязань'!$V$5-'КРОВЛЯ Рязань'!V25)+IFERROR(SEARCH("комп",J25)/SEARCH("комп",J25)*'КРОВЛЯ Рязань'!$R$5,'КРОВЛЯ Рязань'!S$5)),"нет")</f>
        <v>4773</v>
      </c>
      <c r="T25" s="101">
        <f t="shared" si="7"/>
        <v>381.84</v>
      </c>
      <c r="U25" s="1221"/>
      <c r="V25" s="1229"/>
      <c r="W25" s="1221"/>
      <c r="X25" s="1154"/>
      <c r="Y25" s="1155"/>
      <c r="Z25" s="1156"/>
      <c r="AA25" s="1157"/>
      <c r="AB25" s="991"/>
      <c r="AC25" s="1022"/>
      <c r="AD25" s="1024"/>
      <c r="AE25" s="82"/>
      <c r="AF25" s="650"/>
    </row>
    <row r="26" spans="1:32" ht="24.95" customHeight="1" thickBot="1" x14ac:dyDescent="0.3">
      <c r="A26" s="1297"/>
      <c r="B26" s="203">
        <v>1200</v>
      </c>
      <c r="C26" s="204">
        <v>600</v>
      </c>
      <c r="D26" s="209">
        <v>90</v>
      </c>
      <c r="E26" s="263">
        <v>100</v>
      </c>
      <c r="F26" s="263">
        <v>16.075102880658438</v>
      </c>
      <c r="G26" s="264" t="s">
        <v>733</v>
      </c>
      <c r="H26" s="604" t="str">
        <f>IF(OR('КРОВЛЯ Рязань'!$T$6="Завод 'ТЕХНО' г.Рязань",'КРОВЛЯ Рязань'!$T$6="Завод 'ТЕХНО' г.Заинск"),'КРОВЛЯ Рязань'!E26,'КРОВЛЯ Юрга'!E26)</f>
        <v>C</v>
      </c>
      <c r="I26" s="592">
        <f>IF(OR('КРОВЛЯ Рязань'!$T$6="Завод 'ТЕХНО' г.Рязань",'КРОВЛЯ Рязань'!$T$6="Завод 'ТЕХНО' г.Заинск"),'КРОВЛЯ Рязань'!I26,'КРОВЛЯ Юрга'!I26)</f>
        <v>87.091200000000015</v>
      </c>
      <c r="J26" s="177">
        <v>317.26079999999996</v>
      </c>
      <c r="K26" s="97">
        <v>3</v>
      </c>
      <c r="L26" s="166">
        <f t="shared" si="8"/>
        <v>2.16</v>
      </c>
      <c r="M26" s="169">
        <f t="shared" si="9"/>
        <v>0.19440000000000002</v>
      </c>
      <c r="N26" s="97">
        <v>32</v>
      </c>
      <c r="O26" s="166">
        <f t="shared" si="10"/>
        <v>6.2208000000000006</v>
      </c>
      <c r="P26" s="231">
        <f t="shared" si="11"/>
        <v>68.42880000000001</v>
      </c>
      <c r="Q26" s="266"/>
      <c r="R26" s="827">
        <f t="shared" si="6"/>
        <v>927.87120000000004</v>
      </c>
      <c r="S26" s="786">
        <f>IFERROR(IF(OR('КРОВЛЯ Рязань'!$T$6="Завод 'ТЕХНО' г.Рязань",'КРОВЛЯ Рязань'!$T$6="Завод 'ТЕХНО' г.Заинск"),IF('КРОВЛЯ Рязань'!$T$6="Завод 'ТЕХНО' г.Рязань",'КРОВЛЯ Рязань'!R26*(1-'КРОВЛЯ Рязань'!$V$5-'КРОВЛЯ Рязань'!V26)+IFERROR(SEARCH("комп",J26)/SEARCH("комп",J26)*'КРОВЛЯ Рязань'!$R$5,'КРОВЛЯ Рязань'!S$5),'КРОВЛЯ Заинск'!R26*(1-'КРОВЛЯ Рязань'!$V$5-'КРОВЛЯ Рязань'!V26)+IFERROR(SEARCH("комп",J26)/SEARCH("комп",J26)*'КРОВЛЯ Рязань'!$R$5,'КРОВЛЯ Рязань'!S$5)),'КРОВЛЯ Юрга'!R26*(1-'КРОВЛЯ Рязань'!$V$5-'КРОВЛЯ Рязань'!V26)+IFERROR(SEARCH("комп",J26)/SEARCH("комп",J26)*'КРОВЛЯ Рязань'!$R$5,'КРОВЛЯ Рязань'!S$5)),"нет")</f>
        <v>4773</v>
      </c>
      <c r="T26" s="828">
        <f t="shared" si="7"/>
        <v>429.57</v>
      </c>
      <c r="U26" s="1221"/>
      <c r="V26" s="1229"/>
      <c r="W26" s="1221"/>
      <c r="X26" s="1154"/>
      <c r="Y26" s="1155"/>
      <c r="Z26" s="1156"/>
      <c r="AA26" s="1157"/>
      <c r="AB26" s="991"/>
      <c r="AC26" s="1022"/>
      <c r="AD26" s="1024"/>
      <c r="AE26" s="2"/>
      <c r="AF26" s="2"/>
    </row>
    <row r="27" spans="1:32" ht="24.95" customHeight="1" thickBot="1" x14ac:dyDescent="0.3">
      <c r="A27" s="1297"/>
      <c r="B27" s="203">
        <v>1200</v>
      </c>
      <c r="C27" s="204">
        <v>600</v>
      </c>
      <c r="D27" s="209">
        <v>100</v>
      </c>
      <c r="E27" s="263"/>
      <c r="F27" s="263">
        <v>0</v>
      </c>
      <c r="G27" s="264" t="s">
        <v>729</v>
      </c>
      <c r="H27" s="604" t="str">
        <f>IF(OR('КРОВЛЯ Рязань'!$T$6="Завод 'ТЕХНО' г.Рязань",'КРОВЛЯ Рязань'!$T$6="Завод 'ТЕХНО' г.Заинск"),'КРОВЛЯ Рязань'!E27,'КРОВЛЯ Юрга'!E27)</f>
        <v>C</v>
      </c>
      <c r="I27" s="592">
        <f>IF(OR('КРОВЛЯ Рязань'!$T$6="Завод 'ТЕХНО' г.Рязань",'КРОВЛЯ Рязань'!$T$6="Завод 'ТЕХНО' г.Заинск"),'КРОВЛЯ Рязань'!I27,'КРОВЛЯ Юрга'!I27)</f>
        <v>89.855999999999995</v>
      </c>
      <c r="J27" s="177"/>
      <c r="K27" s="97">
        <v>3</v>
      </c>
      <c r="L27" s="166">
        <f t="shared" si="8"/>
        <v>2.16</v>
      </c>
      <c r="M27" s="169">
        <f t="shared" si="9"/>
        <v>0.216</v>
      </c>
      <c r="N27" s="97">
        <v>32</v>
      </c>
      <c r="O27" s="166">
        <f t="shared" si="10"/>
        <v>6.9119999999999999</v>
      </c>
      <c r="P27" s="231">
        <f t="shared" si="11"/>
        <v>76.031999999999996</v>
      </c>
      <c r="Q27" s="266"/>
      <c r="R27" s="827">
        <f t="shared" si="6"/>
        <v>1030.9680000000001</v>
      </c>
      <c r="S27" s="786">
        <f>IFERROR(IF(OR('КРОВЛЯ Рязань'!$T$6="Завод 'ТЕХНО' г.Рязань",'КРОВЛЯ Рязань'!$T$6="Завод 'ТЕХНО' г.Заинск"),IF('КРОВЛЯ Рязань'!$T$6="Завод 'ТЕХНО' г.Рязань",'КРОВЛЯ Рязань'!R27*(1-'КРОВЛЯ Рязань'!$V$5-'КРОВЛЯ Рязань'!V27)+IFERROR(SEARCH("комп",J27)/SEARCH("комп",J27)*'КРОВЛЯ Рязань'!$R$5,'КРОВЛЯ Рязань'!S$5),'КРОВЛЯ Заинск'!R27*(1-'КРОВЛЯ Рязань'!$V$5-'КРОВЛЯ Рязань'!V27)+IFERROR(SEARCH("комп",J27)/SEARCH("комп",J27)*'КРОВЛЯ Рязань'!$R$5,'КРОВЛЯ Рязань'!S$5)),'КРОВЛЯ Юрга'!R27*(1-'КРОВЛЯ Рязань'!$V$5-'КРОВЛЯ Рязань'!V27)+IFERROR(SEARCH("комп",J27)/SEARCH("комп",J27)*'КРОВЛЯ Рязань'!$R$5,'КРОВЛЯ Рязань'!S$5)),"нет")</f>
        <v>4773</v>
      </c>
      <c r="T27" s="828">
        <f t="shared" si="7"/>
        <v>477.3</v>
      </c>
      <c r="U27" s="1221"/>
      <c r="V27" s="1229"/>
      <c r="W27" s="1221"/>
      <c r="X27" s="1154"/>
      <c r="Y27" s="1155"/>
      <c r="Z27" s="1156"/>
      <c r="AA27" s="1157"/>
      <c r="AB27" s="991"/>
      <c r="AC27" s="1022"/>
      <c r="AD27" s="1024"/>
      <c r="AE27" s="82"/>
      <c r="AF27" s="650"/>
    </row>
    <row r="28" spans="1:32" ht="24.95" customHeight="1" thickBot="1" x14ac:dyDescent="0.3">
      <c r="A28" s="1297"/>
      <c r="B28" s="203">
        <v>1200</v>
      </c>
      <c r="C28" s="204">
        <v>600</v>
      </c>
      <c r="D28" s="209">
        <v>110</v>
      </c>
      <c r="E28" s="263">
        <v>100</v>
      </c>
      <c r="F28" s="263">
        <v>15.031265031265031</v>
      </c>
      <c r="G28" s="264" t="s">
        <v>734</v>
      </c>
      <c r="H28" s="604" t="str">
        <f>IF(OR('КРОВЛЯ Рязань'!$T$6="Завод 'ТЕХНО' г.Рязань",'КРОВЛЯ Рязань'!$T$6="Завод 'ТЕХНО' г.Заинск"),'КРОВЛЯ Рязань'!E28,'КРОВЛЯ Юрга'!E28)</f>
        <v>C</v>
      </c>
      <c r="I28" s="592">
        <f>IF(OR('КРОВЛЯ Рязань'!$T$6="Завод 'ТЕХНО' г.Рязань",'КРОВЛЯ Рязань'!$T$6="Завод 'ТЕХНО' г.Заинск"),'КРОВЛЯ Рязань'!I28,'КРОВЛЯ Юрга'!I28)</f>
        <v>93.139200000000017</v>
      </c>
      <c r="J28" s="177">
        <v>319.33440000000002</v>
      </c>
      <c r="K28" s="97">
        <v>3</v>
      </c>
      <c r="L28" s="166">
        <f t="shared" si="8"/>
        <v>2.16</v>
      </c>
      <c r="M28" s="169">
        <f t="shared" si="9"/>
        <v>0.23760000000000003</v>
      </c>
      <c r="N28" s="97">
        <v>28</v>
      </c>
      <c r="O28" s="166">
        <f t="shared" si="10"/>
        <v>6.6528000000000009</v>
      </c>
      <c r="P28" s="231">
        <f t="shared" si="11"/>
        <v>73.180800000000005</v>
      </c>
      <c r="Q28" s="266"/>
      <c r="R28" s="827">
        <f t="shared" si="6"/>
        <v>1134.0648000000001</v>
      </c>
      <c r="S28" s="786">
        <f>IFERROR(IF(OR('КРОВЛЯ Рязань'!$T$6="Завод 'ТЕХНО' г.Рязань",'КРОВЛЯ Рязань'!$T$6="Завод 'ТЕХНО' г.Заинск"),IF('КРОВЛЯ Рязань'!$T$6="Завод 'ТЕХНО' г.Рязань",'КРОВЛЯ Рязань'!R28*(1-'КРОВЛЯ Рязань'!$V$5-'КРОВЛЯ Рязань'!V28)+IFERROR(SEARCH("комп",J28)/SEARCH("комп",J28)*'КРОВЛЯ Рязань'!$R$5,'КРОВЛЯ Рязань'!S$5),'КРОВЛЯ Заинск'!R28*(1-'КРОВЛЯ Рязань'!$V$5-'КРОВЛЯ Рязань'!V28)+IFERROR(SEARCH("комп",J28)/SEARCH("комп",J28)*'КРОВЛЯ Рязань'!$R$5,'КРОВЛЯ Рязань'!S$5)),'КРОВЛЯ Юрга'!R28*(1-'КРОВЛЯ Рязань'!$V$5-'КРОВЛЯ Рязань'!V28)+IFERROR(SEARCH("комп",J28)/SEARCH("комп",J28)*'КРОВЛЯ Рязань'!$R$5,'КРОВЛЯ Рязань'!S$5)),"нет")</f>
        <v>4773</v>
      </c>
      <c r="T28" s="828">
        <f t="shared" si="7"/>
        <v>525.03</v>
      </c>
      <c r="U28" s="1221"/>
      <c r="V28" s="1229"/>
      <c r="W28" s="1221"/>
      <c r="X28" s="1154"/>
      <c r="Y28" s="1155"/>
      <c r="Z28" s="1156"/>
      <c r="AA28" s="1157"/>
      <c r="AB28" s="991"/>
      <c r="AC28" s="1022"/>
      <c r="AD28" s="1024"/>
      <c r="AE28" s="2"/>
      <c r="AF28" s="2"/>
    </row>
    <row r="29" spans="1:32" ht="24.95" customHeight="1" thickBot="1" x14ac:dyDescent="0.3">
      <c r="A29" s="1297"/>
      <c r="B29" s="203">
        <v>1200</v>
      </c>
      <c r="C29" s="204">
        <v>600</v>
      </c>
      <c r="D29" s="209">
        <v>120</v>
      </c>
      <c r="E29" s="263">
        <v>100</v>
      </c>
      <c r="F29" s="263">
        <v>14.467592592592592</v>
      </c>
      <c r="G29" s="264" t="s">
        <v>732</v>
      </c>
      <c r="H29" s="604" t="str">
        <f>IF(OR('КРОВЛЯ Рязань'!$T$6="Завод 'ТЕХНО' г.Рязань",'КРОВЛЯ Рязань'!$T$6="Завод 'ТЕХНО' г.Заинск"),'КРОВЛЯ Рязань'!E29,'КРОВЛЯ Юрга'!E29)</f>
        <v>C</v>
      </c>
      <c r="I29" s="592">
        <f>IF(OR('КРОВЛЯ Рязань'!$T$6="Завод 'ТЕХНО' г.Рязань",'КРОВЛЯ Рязань'!$T$6="Завод 'ТЕХНО' г.Заинск"),'КРОВЛЯ Рязань'!I29,'КРОВЛЯ Юрга'!I29)</f>
        <v>89.855999999999995</v>
      </c>
      <c r="J29" s="177">
        <v>331.77600000000007</v>
      </c>
      <c r="K29" s="97">
        <v>2</v>
      </c>
      <c r="L29" s="166">
        <f t="shared" si="8"/>
        <v>1.44</v>
      </c>
      <c r="M29" s="169">
        <f t="shared" si="9"/>
        <v>0.17279999999999998</v>
      </c>
      <c r="N29" s="97">
        <v>40</v>
      </c>
      <c r="O29" s="166">
        <f t="shared" si="10"/>
        <v>6.911999999999999</v>
      </c>
      <c r="P29" s="231">
        <f t="shared" si="11"/>
        <v>76.031999999999982</v>
      </c>
      <c r="Q29" s="266"/>
      <c r="R29" s="827">
        <f t="shared" si="6"/>
        <v>824.7743999999999</v>
      </c>
      <c r="S29" s="786">
        <f>IFERROR(IF(OR('КРОВЛЯ Рязань'!$T$6="Завод 'ТЕХНО' г.Рязань",'КРОВЛЯ Рязань'!$T$6="Завод 'ТЕХНО' г.Заинск"),IF('КРОВЛЯ Рязань'!$T$6="Завод 'ТЕХНО' г.Рязань",'КРОВЛЯ Рязань'!R29*(1-'КРОВЛЯ Рязань'!$V$5-'КРОВЛЯ Рязань'!V29)+IFERROR(SEARCH("комп",J29)/SEARCH("комп",J29)*'КРОВЛЯ Рязань'!$R$5,'КРОВЛЯ Рязань'!S$5),'КРОВЛЯ Заинск'!R29*(1-'КРОВЛЯ Рязань'!$V$5-'КРОВЛЯ Рязань'!V29)+IFERROR(SEARCH("комп",J29)/SEARCH("комп",J29)*'КРОВЛЯ Рязань'!$R$5,'КРОВЛЯ Рязань'!S$5)),'КРОВЛЯ Юрга'!R29*(1-'КРОВЛЯ Рязань'!$V$5-'КРОВЛЯ Рязань'!V29)+IFERROR(SEARCH("комп",J29)/SEARCH("комп",J29)*'КРОВЛЯ Рязань'!$R$5,'КРОВЛЯ Рязань'!S$5)),"нет")</f>
        <v>4773</v>
      </c>
      <c r="T29" s="828">
        <f t="shared" si="7"/>
        <v>572.76</v>
      </c>
      <c r="U29" s="1221"/>
      <c r="V29" s="1229"/>
      <c r="W29" s="1221"/>
      <c r="X29" s="1154"/>
      <c r="Y29" s="1155"/>
      <c r="Z29" s="1156"/>
      <c r="AA29" s="1157"/>
      <c r="AB29" s="991"/>
      <c r="AC29" s="1022"/>
      <c r="AD29" s="1024"/>
      <c r="AE29" s="2"/>
      <c r="AF29" s="2"/>
    </row>
    <row r="30" spans="1:32" ht="24.95" customHeight="1" thickBot="1" x14ac:dyDescent="0.3">
      <c r="A30" s="1297"/>
      <c r="B30" s="203">
        <v>1200</v>
      </c>
      <c r="C30" s="204">
        <v>600</v>
      </c>
      <c r="D30" s="209">
        <v>130</v>
      </c>
      <c r="E30" s="263">
        <v>100</v>
      </c>
      <c r="F30" s="263">
        <v>14.83855650522317</v>
      </c>
      <c r="G30" s="264" t="s">
        <v>735</v>
      </c>
      <c r="H30" s="604" t="str">
        <f>IF(OR('КРОВЛЯ Рязань'!$T$6="Завод 'ТЕХНО' г.Рязань",'КРОВЛЯ Рязань'!$T$6="Завод 'ТЕХНО' г.Заинск"),'КРОВЛЯ Рязань'!E30,'КРОВЛЯ Юрга'!E30)</f>
        <v>C</v>
      </c>
      <c r="I30" s="592">
        <f>IF(OR('КРОВЛЯ Рязань'!$T$6="Завод 'ТЕХНО' г.Рязань",'КРОВЛЯ Рязань'!$T$6="Завод 'ТЕХНО' г.Заинск"),'КРОВЛЯ Рязань'!I30,'КРОВЛЯ Юрга'!I30)</f>
        <v>87.609599999999986</v>
      </c>
      <c r="J30" s="177">
        <v>323.48160000000001</v>
      </c>
      <c r="K30" s="97">
        <v>2</v>
      </c>
      <c r="L30" s="166">
        <f t="shared" si="8"/>
        <v>1.44</v>
      </c>
      <c r="M30" s="169">
        <f t="shared" si="9"/>
        <v>0.18719999999999998</v>
      </c>
      <c r="N30" s="97">
        <v>36</v>
      </c>
      <c r="O30" s="166">
        <f t="shared" si="10"/>
        <v>6.7391999999999994</v>
      </c>
      <c r="P30" s="231">
        <f t="shared" si="11"/>
        <v>74.131199999999993</v>
      </c>
      <c r="Q30" s="266"/>
      <c r="R30" s="827">
        <f t="shared" si="6"/>
        <v>893.50559999999984</v>
      </c>
      <c r="S30" s="786">
        <f>IFERROR(IF(OR('КРОВЛЯ Рязань'!$T$6="Завод 'ТЕХНО' г.Рязань",'КРОВЛЯ Рязань'!$T$6="Завод 'ТЕХНО' г.Заинск"),IF('КРОВЛЯ Рязань'!$T$6="Завод 'ТЕХНО' г.Рязань",'КРОВЛЯ Рязань'!R30*(1-'КРОВЛЯ Рязань'!$V$5-'КРОВЛЯ Рязань'!V30)+IFERROR(SEARCH("комп",J30)/SEARCH("комп",J30)*'КРОВЛЯ Рязань'!$R$5,'КРОВЛЯ Рязань'!S$5),'КРОВЛЯ Заинск'!R30*(1-'КРОВЛЯ Рязань'!$V$5-'КРОВЛЯ Рязань'!V30)+IFERROR(SEARCH("комп",J30)/SEARCH("комп",J30)*'КРОВЛЯ Рязань'!$R$5,'КРОВЛЯ Рязань'!S$5)),'КРОВЛЯ Юрга'!R30*(1-'КРОВЛЯ Рязань'!$V$5-'КРОВЛЯ Рязань'!V30)+IFERROR(SEARCH("комп",J30)/SEARCH("комп",J30)*'КРОВЛЯ Рязань'!$R$5,'КРОВЛЯ Рязань'!S$5)),"нет")</f>
        <v>4773</v>
      </c>
      <c r="T30" s="828">
        <f t="shared" si="7"/>
        <v>620.49</v>
      </c>
      <c r="U30" s="1221"/>
      <c r="V30" s="1229"/>
      <c r="W30" s="1221"/>
      <c r="X30" s="1154"/>
      <c r="Y30" s="1155"/>
      <c r="Z30" s="1156"/>
      <c r="AA30" s="1157"/>
      <c r="AB30" s="991"/>
      <c r="AC30" s="1022"/>
      <c r="AD30" s="1024"/>
      <c r="AE30" s="2"/>
      <c r="AF30" s="2"/>
    </row>
    <row r="31" spans="1:32" ht="24.95" customHeight="1" thickBot="1" x14ac:dyDescent="0.3">
      <c r="A31" s="1297"/>
      <c r="B31" s="203">
        <v>1200</v>
      </c>
      <c r="C31" s="204">
        <v>600</v>
      </c>
      <c r="D31" s="209">
        <v>140</v>
      </c>
      <c r="E31" s="263">
        <v>100</v>
      </c>
      <c r="F31" s="263">
        <v>15.500992063492063</v>
      </c>
      <c r="G31" s="264" t="s">
        <v>730</v>
      </c>
      <c r="H31" s="604" t="str">
        <f>IF(OR('КРОВЛЯ Рязань'!$T$6="Завод 'ТЕХНО' г.Рязань",'КРОВЛЯ Рязань'!$T$6="Завод 'ТЕХНО' г.Заинск"),'КРОВЛЯ Рязань'!E31,'КРОВЛЯ Юрга'!E31)</f>
        <v>C</v>
      </c>
      <c r="I31" s="592">
        <f>IF(OR('КРОВЛЯ Рязань'!$T$6="Завод 'ТЕХНО' г.Рязань",'КРОВЛЯ Рязань'!$T$6="Завод 'ТЕХНО' г.Заинск"),'КРОВЛЯ Рязань'!I31,'КРОВЛЯ Юрга'!I31)</f>
        <v>90.316800000000001</v>
      </c>
      <c r="J31" s="177">
        <v>309.6576</v>
      </c>
      <c r="K31" s="97">
        <v>2</v>
      </c>
      <c r="L31" s="181">
        <f t="shared" si="8"/>
        <v>1.44</v>
      </c>
      <c r="M31" s="198">
        <f t="shared" si="9"/>
        <v>0.2016</v>
      </c>
      <c r="N31" s="97">
        <v>32</v>
      </c>
      <c r="O31" s="166">
        <f t="shared" si="10"/>
        <v>6.4512</v>
      </c>
      <c r="P31" s="231">
        <f t="shared" si="11"/>
        <v>70.963200000000001</v>
      </c>
      <c r="Q31" s="266"/>
      <c r="R31" s="88">
        <f t="shared" si="6"/>
        <v>962.23680000000002</v>
      </c>
      <c r="S31" s="786">
        <f>IFERROR(IF(OR('КРОВЛЯ Рязань'!$T$6="Завод 'ТЕХНО' г.Рязань",'КРОВЛЯ Рязань'!$T$6="Завод 'ТЕХНО' г.Заинск"),IF('КРОВЛЯ Рязань'!$T$6="Завод 'ТЕХНО' г.Рязань",'КРОВЛЯ Рязань'!R31*(1-'КРОВЛЯ Рязань'!$V$5-'КРОВЛЯ Рязань'!V31)+IFERROR(SEARCH("комп",J31)/SEARCH("комп",J31)*'КРОВЛЯ Рязань'!$R$5,'КРОВЛЯ Рязань'!S$5),'КРОВЛЯ Заинск'!R31*(1-'КРОВЛЯ Рязань'!$V$5-'КРОВЛЯ Рязань'!V31)+IFERROR(SEARCH("комп",J31)/SEARCH("комп",J31)*'КРОВЛЯ Рязань'!$R$5,'КРОВЛЯ Рязань'!S$5)),'КРОВЛЯ Юрга'!R31*(1-'КРОВЛЯ Рязань'!$V$5-'КРОВЛЯ Рязань'!V31)+IFERROR(SEARCH("комп",J31)/SEARCH("комп",J31)*'КРОВЛЯ Рязань'!$R$5,'КРОВЛЯ Рязань'!S$5)),"нет")</f>
        <v>4773</v>
      </c>
      <c r="T31" s="101">
        <f t="shared" si="7"/>
        <v>668.22</v>
      </c>
      <c r="U31" s="1221"/>
      <c r="V31" s="1229"/>
      <c r="W31" s="1221"/>
      <c r="X31" s="1154"/>
      <c r="Y31" s="1155"/>
      <c r="Z31" s="1156"/>
      <c r="AA31" s="1157"/>
      <c r="AB31" s="991"/>
      <c r="AC31" s="1022"/>
      <c r="AD31" s="1024"/>
      <c r="AE31" s="82"/>
      <c r="AF31" s="650"/>
    </row>
    <row r="32" spans="1:32" ht="24.95" customHeight="1" thickBot="1" x14ac:dyDescent="0.3">
      <c r="A32" s="1298"/>
      <c r="B32" s="240">
        <v>1200</v>
      </c>
      <c r="C32" s="241">
        <v>600</v>
      </c>
      <c r="D32" s="242">
        <v>150</v>
      </c>
      <c r="E32" s="289">
        <v>100</v>
      </c>
      <c r="F32" s="289">
        <v>14.467592592592593</v>
      </c>
      <c r="G32" s="317" t="s">
        <v>731</v>
      </c>
      <c r="H32" s="605" t="str">
        <f>IF(OR('КРОВЛЯ Рязань'!$T$6="Завод 'ТЕХНО' г.Рязань",'КРОВЛЯ Рязань'!$T$6="Завод 'ТЕХНО' г.Заинск"),'КРОВЛЯ Рязань'!E32,'КРОВЛЯ Юрга'!E32)</f>
        <v>C</v>
      </c>
      <c r="I32" s="593">
        <f>IF(OR('КРОВЛЯ Рязань'!$T$6="Завод 'ТЕХНО' г.Рязань",'КРОВЛЯ Рязань'!$T$6="Завод 'ТЕХНО' г.Заинск"),'КРОВЛЯ Рязань'!I32,'КРОВЛЯ Юрга'!I32)</f>
        <v>89.855999999999995</v>
      </c>
      <c r="J32" s="455">
        <v>331.77600000000001</v>
      </c>
      <c r="K32" s="306">
        <v>2</v>
      </c>
      <c r="L32" s="183">
        <f t="shared" si="8"/>
        <v>1.44</v>
      </c>
      <c r="M32" s="189">
        <f t="shared" si="9"/>
        <v>0.216</v>
      </c>
      <c r="N32" s="306">
        <v>32</v>
      </c>
      <c r="O32" s="167">
        <f t="shared" si="10"/>
        <v>6.9119999999999999</v>
      </c>
      <c r="P32" s="260">
        <f t="shared" si="11"/>
        <v>76.031999999999996</v>
      </c>
      <c r="Q32" s="308"/>
      <c r="R32" s="614">
        <f t="shared" si="6"/>
        <v>1030.9680000000001</v>
      </c>
      <c r="S32" s="787">
        <f>IFERROR(IF(OR('КРОВЛЯ Рязань'!$T$6="Завод 'ТЕХНО' г.Рязань",'КРОВЛЯ Рязань'!$T$6="Завод 'ТЕХНО' г.Заинск"),IF('КРОВЛЯ Рязань'!$T$6="Завод 'ТЕХНО' г.Рязань",'КРОВЛЯ Рязань'!R32*(1-'КРОВЛЯ Рязань'!$V$5-'КРОВЛЯ Рязань'!V32)+IFERROR(SEARCH("комп",J32)/SEARCH("комп",J32)*'КРОВЛЯ Рязань'!$R$5,'КРОВЛЯ Рязань'!S$5),'КРОВЛЯ Заинск'!R32*(1-'КРОВЛЯ Рязань'!$V$5-'КРОВЛЯ Рязань'!V32)+IFERROR(SEARCH("комп",J32)/SEARCH("комп",J32)*'КРОВЛЯ Рязань'!$R$5,'КРОВЛЯ Рязань'!S$5)),'КРОВЛЯ Юрга'!R32*(1-'КРОВЛЯ Рязань'!$V$5-'КРОВЛЯ Рязань'!V32)+IFERROR(SEARCH("комп",J32)/SEARCH("комп",J32)*'КРОВЛЯ Рязань'!$R$5,'КРОВЛЯ Рязань'!S$5)),"нет")</f>
        <v>4773</v>
      </c>
      <c r="T32" s="615">
        <f t="shared" si="7"/>
        <v>715.95</v>
      </c>
      <c r="U32" s="1221"/>
      <c r="V32" s="1229"/>
      <c r="W32" s="1221"/>
      <c r="X32" s="1154"/>
      <c r="Y32" s="1155"/>
      <c r="Z32" s="1156"/>
      <c r="AA32" s="1157"/>
      <c r="AB32" s="991"/>
      <c r="AC32" s="1022"/>
      <c r="AD32" s="1024"/>
      <c r="AE32" s="2"/>
      <c r="AF32" s="2"/>
    </row>
    <row r="33" spans="1:32" ht="22.5" customHeight="1" thickBot="1" x14ac:dyDescent="0.3">
      <c r="A33" s="1147" t="s">
        <v>14</v>
      </c>
      <c r="B33" s="249">
        <v>1200</v>
      </c>
      <c r="C33" s="287">
        <v>600</v>
      </c>
      <c r="D33" s="288">
        <v>50</v>
      </c>
      <c r="E33" s="319"/>
      <c r="F33" s="319">
        <v>0</v>
      </c>
      <c r="G33" s="310" t="s">
        <v>712</v>
      </c>
      <c r="H33" s="898" t="str">
        <f>IF(OR('КРОВЛЯ Рязань'!$T$6="Завод 'ТЕХНО' г.Рязань",'КРОВЛЯ Рязань'!$T$6="Завод 'ТЕХНО' г.Заинск"),'КРОВЛЯ Рязань'!E33,'КРОВЛЯ Юрга'!E33)</f>
        <v>Б</v>
      </c>
      <c r="I33" s="594" t="str">
        <f>IF(OR('КРОВЛЯ Рязань'!$T$6="Завод 'ТЕХНО' г.Рязань",'КРОВЛЯ Рязань'!$T$6="Завод 'ТЕХНО' г.Заинск"),'КРОВЛЯ Рязань'!I33,'КРОВЛЯ Юрга'!I33)</f>
        <v xml:space="preserve"> </v>
      </c>
      <c r="J33" s="178"/>
      <c r="K33" s="320">
        <v>6</v>
      </c>
      <c r="L33" s="168">
        <f t="shared" si="2"/>
        <v>4.32</v>
      </c>
      <c r="M33" s="265">
        <f t="shared" si="3"/>
        <v>0.216</v>
      </c>
      <c r="N33" s="320">
        <v>32</v>
      </c>
      <c r="O33" s="168">
        <f t="shared" si="4"/>
        <v>6.9119999999999999</v>
      </c>
      <c r="P33" s="223">
        <f t="shared" si="5"/>
        <v>76.031999999999996</v>
      </c>
      <c r="Q33" s="612"/>
      <c r="R33" s="88">
        <f t="shared" si="0"/>
        <v>1441.8</v>
      </c>
      <c r="S33" s="786">
        <f>IFERROR(IF(OR('КРОВЛЯ Рязань'!$T$6="Завод 'ТЕХНО' г.Рязань",'КРОВЛЯ Рязань'!$T$6="Завод 'ТЕХНО' г.Заинск"),IF('КРОВЛЯ Рязань'!$T$6="Завод 'ТЕХНО' г.Рязань",'КРОВЛЯ Рязань'!R33*(1-'КРОВЛЯ Рязань'!$V$5-'КРОВЛЯ Рязань'!V33)+IFERROR(SEARCH("комп",J33)/SEARCH("комп",J33)*'КРОВЛЯ Рязань'!$R$5,'КРОВЛЯ Рязань'!S$5),'КРОВЛЯ Заинск'!R33*(1-'КРОВЛЯ Рязань'!$V$5-'КРОВЛЯ Рязань'!V33)+IFERROR(SEARCH("комп",J33)/SEARCH("комп",J33)*'КРОВЛЯ Рязань'!$R$5,'КРОВЛЯ Рязань'!S$5)),'КРОВЛЯ Юрга'!R33*(1-'КРОВЛЯ Рязань'!$V$5-'КРОВЛЯ Рязань'!V33)+IFERROR(SEARCH("комп",J33)/SEARCH("комп",J33)*'КРОВЛЯ Рязань'!$R$5,'КРОВЛЯ Рязань'!S$5)),"нет")</f>
        <v>6675</v>
      </c>
      <c r="T33" s="101">
        <f t="shared" si="1"/>
        <v>333.75</v>
      </c>
      <c r="U33" s="1221"/>
      <c r="V33" s="1229"/>
      <c r="W33" s="1221"/>
      <c r="X33" s="1154"/>
      <c r="Y33" s="1155"/>
      <c r="Z33" s="1156"/>
      <c r="AA33" s="1157"/>
      <c r="AB33" s="991"/>
      <c r="AC33" s="1022"/>
      <c r="AD33" s="1036"/>
      <c r="AE33" s="2"/>
      <c r="AF33" s="2"/>
    </row>
    <row r="34" spans="1:32" ht="22.5" customHeight="1" thickBot="1" x14ac:dyDescent="0.3">
      <c r="A34" s="751" t="s">
        <v>32</v>
      </c>
      <c r="B34" s="203">
        <v>1200</v>
      </c>
      <c r="C34" s="204">
        <v>600</v>
      </c>
      <c r="D34" s="209">
        <v>60</v>
      </c>
      <c r="E34" s="263">
        <v>71.428571428571431</v>
      </c>
      <c r="F34" s="263">
        <v>10.333994708994709</v>
      </c>
      <c r="G34" s="264" t="s">
        <v>192</v>
      </c>
      <c r="H34" s="604" t="str">
        <f>IF(OR('КРОВЛЯ Рязань'!$T$6="Завод 'ТЕХНО' г.Рязань",'КРОВЛЯ Рязань'!$T$6="Завод 'ТЕХНО' г.Заинск"),'КРОВЛЯ Рязань'!E35,'КРОВЛЯ Юрга'!E35)</f>
        <v>C</v>
      </c>
      <c r="I34" s="592">
        <f>IF(OR('КРОВЛЯ Рязань'!$T$6="Завод 'ТЕХНО' г.Рязань",'КРОВЛЯ Рязань'!$T$6="Завод 'ТЕХНО' г.Заинск"),'КРОВЛЯ Рязань'!I34,'КРОВЛЯ Юрга'!I34)</f>
        <v>76.031999999999982</v>
      </c>
      <c r="J34" s="177">
        <v>311.04000000000002</v>
      </c>
      <c r="K34" s="98">
        <v>4</v>
      </c>
      <c r="L34" s="181">
        <f t="shared" ref="L34" si="12">B34*C34*K34/1000000</f>
        <v>2.88</v>
      </c>
      <c r="M34" s="198">
        <f t="shared" ref="M34" si="13">D34*L34/1000</f>
        <v>0.17279999999999998</v>
      </c>
      <c r="N34" s="97">
        <v>40</v>
      </c>
      <c r="O34" s="166">
        <f t="shared" ref="O34" si="14">M34*N34</f>
        <v>6.911999999999999</v>
      </c>
      <c r="P34" s="231">
        <f t="shared" ref="P34" si="15">O34*11</f>
        <v>76.031999999999982</v>
      </c>
      <c r="Q34" s="266"/>
      <c r="R34" s="88">
        <f t="shared" ref="R34" si="16">IFERROR(M34*S34,"---")</f>
        <v>1153.4399999999998</v>
      </c>
      <c r="S34" s="786">
        <f>IFERROR(IF(OR('КРОВЛЯ Рязань'!$T$6="Завод 'ТЕХНО' г.Рязань",'КРОВЛЯ Рязань'!$T$6="Завод 'ТЕХНО' г.Заинск"),IF('КРОВЛЯ Рязань'!$T$6="Завод 'ТЕХНО' г.Рязань",'КРОВЛЯ Рязань'!R34*(1-'КРОВЛЯ Рязань'!$V$5-'КРОВЛЯ Рязань'!V34)+IFERROR(SEARCH("комп",J34)/SEARCH("комп",J34)*'КРОВЛЯ Рязань'!$R$5,'КРОВЛЯ Рязань'!S$5),'КРОВЛЯ Заинск'!R34*(1-'КРОВЛЯ Рязань'!$V$5-'КРОВЛЯ Рязань'!V34)+IFERROR(SEARCH("комп",J34)/SEARCH("комп",J34)*'КРОВЛЯ Рязань'!$R$5,'КРОВЛЯ Рязань'!S$5)),'КРОВЛЯ Юрга'!R34*(1-'КРОВЛЯ Рязань'!$V$5-'КРОВЛЯ Рязань'!V34)+IFERROR(SEARCH("комп",J34)/SEARCH("комп",J34)*'КРОВЛЯ Рязань'!$R$5,'КРОВЛЯ Рязань'!S$5)),"нет")</f>
        <v>6675</v>
      </c>
      <c r="T34" s="101">
        <f t="shared" ref="T34" si="17">IFERROR(S34*D34/1000,"---")</f>
        <v>400.5</v>
      </c>
      <c r="U34" s="1221"/>
      <c r="V34" s="1229"/>
      <c r="W34" s="1221"/>
      <c r="X34" s="1154"/>
      <c r="Y34" s="1155"/>
      <c r="Z34" s="1156"/>
      <c r="AA34" s="1157"/>
      <c r="AB34" s="991"/>
      <c r="AC34" s="1022"/>
      <c r="AD34" s="1024"/>
      <c r="AE34" s="2"/>
      <c r="AF34" s="2"/>
    </row>
    <row r="35" spans="1:32" ht="22.5" customHeight="1" thickBot="1" x14ac:dyDescent="0.3">
      <c r="A35" s="751"/>
      <c r="B35" s="203">
        <v>1200</v>
      </c>
      <c r="C35" s="204">
        <v>600</v>
      </c>
      <c r="D35" s="209">
        <v>70</v>
      </c>
      <c r="E35" s="263">
        <v>71.428571428571431</v>
      </c>
      <c r="F35" s="263">
        <v>10.736617879475023</v>
      </c>
      <c r="G35" s="264" t="s">
        <v>556</v>
      </c>
      <c r="H35" s="604" t="str">
        <f>IF(OR('КРОВЛЯ Рязань'!$T$6="Завод 'ТЕХНО' г.Рязань",'КРОВЛЯ Рязань'!$T$6="Завод 'ТЕХНО' г.Заинск"),'КРОВЛЯ Рязань'!E35,'КРОВЛЯ Юрга'!E35)</f>
        <v>C</v>
      </c>
      <c r="I35" s="592">
        <f>IF(OR('КРОВЛЯ Рязань'!$T$6="Завод 'ТЕХНО' г.Рязань",'КРОВЛЯ Рязань'!$T$6="Завод 'ТЕХНО' г.Заинск"),'КРОВЛЯ Рязань'!I35,'КРОВЛЯ Юрга'!I35)</f>
        <v>73.180800000000005</v>
      </c>
      <c r="J35" s="177">
        <v>299.37599999999998</v>
      </c>
      <c r="K35" s="97">
        <v>3</v>
      </c>
      <c r="L35" s="181">
        <f t="shared" si="2"/>
        <v>2.16</v>
      </c>
      <c r="M35" s="198">
        <f t="shared" si="3"/>
        <v>0.15120000000000003</v>
      </c>
      <c r="N35" s="97">
        <v>44</v>
      </c>
      <c r="O35" s="166">
        <f t="shared" si="4"/>
        <v>6.6528000000000009</v>
      </c>
      <c r="P35" s="231">
        <f t="shared" si="5"/>
        <v>73.180800000000005</v>
      </c>
      <c r="Q35" s="266"/>
      <c r="R35" s="88">
        <f t="shared" si="0"/>
        <v>1009.2600000000002</v>
      </c>
      <c r="S35" s="786">
        <f>IFERROR(IF(OR('КРОВЛЯ Рязань'!$T$6="Завод 'ТЕХНО' г.Рязань",'КРОВЛЯ Рязань'!$T$6="Завод 'ТЕХНО' г.Заинск"),IF('КРОВЛЯ Рязань'!$T$6="Завод 'ТЕХНО' г.Рязань",'КРОВЛЯ Рязань'!R35*(1-'КРОВЛЯ Рязань'!$V$5-'КРОВЛЯ Рязань'!V35)+IFERROR(SEARCH("комп",J35)/SEARCH("комп",J35)*'КРОВЛЯ Рязань'!$R$5,'КРОВЛЯ Рязань'!S$5),'КРОВЛЯ Заинск'!R35*(1-'КРОВЛЯ Рязань'!$V$5-'КРОВЛЯ Рязань'!V35)+IFERROR(SEARCH("комп",J35)/SEARCH("комп",J35)*'КРОВЛЯ Рязань'!$R$5,'КРОВЛЯ Рязань'!S$5)),'КРОВЛЯ Юрга'!R35*(1-'КРОВЛЯ Рязань'!$V$5-'КРОВЛЯ Рязань'!V35)+IFERROR(SEARCH("комп",J35)/SEARCH("комп",J35)*'КРОВЛЯ Рязань'!$R$5,'КРОВЛЯ Рязань'!S$5)),"нет")</f>
        <v>6675</v>
      </c>
      <c r="T35" s="101">
        <f t="shared" si="1"/>
        <v>467.25</v>
      </c>
      <c r="U35" s="1221"/>
      <c r="V35" s="1229"/>
      <c r="W35" s="1221"/>
      <c r="X35" s="1154"/>
      <c r="Y35" s="1155"/>
      <c r="Z35" s="1156"/>
      <c r="AA35" s="1157"/>
      <c r="AB35" s="991"/>
      <c r="AC35" s="1022"/>
      <c r="AD35" s="1024"/>
      <c r="AE35" s="2"/>
      <c r="AF35" s="2"/>
    </row>
    <row r="36" spans="1:32" ht="22.5" customHeight="1" thickBot="1" x14ac:dyDescent="0.3">
      <c r="A36" s="751"/>
      <c r="B36" s="203">
        <v>1200</v>
      </c>
      <c r="C36" s="204">
        <v>600</v>
      </c>
      <c r="D36" s="209">
        <v>80</v>
      </c>
      <c r="E36" s="263">
        <v>71.428571428571431</v>
      </c>
      <c r="F36" s="263">
        <v>10.333994708994709</v>
      </c>
      <c r="G36" s="264" t="s">
        <v>194</v>
      </c>
      <c r="H36" s="604" t="str">
        <f>IF(OR('КРОВЛЯ Рязань'!$T$6="Завод 'ТЕХНО' г.Рязань",'КРОВЛЯ Рязань'!$T$6="Завод 'ТЕХНО' г.Заинск"),'КРОВЛЯ Рязань'!E36,'КРОВЛЯ Юрга'!E36)</f>
        <v>C</v>
      </c>
      <c r="I36" s="592">
        <f>IF(OR('КРОВЛЯ Рязань'!$T$6="Завод 'ТЕХНО' г.Рязань",'КРОВЛЯ Рязань'!$T$6="Завод 'ТЕХНО' г.Заинск"),'КРОВЛЯ Рязань'!I36,'КРОВЛЯ Юрга'!I36)</f>
        <v>76.032000000000011</v>
      </c>
      <c r="J36" s="177">
        <v>311.04000000000002</v>
      </c>
      <c r="K36" s="97">
        <v>3</v>
      </c>
      <c r="L36" s="181">
        <f t="shared" si="2"/>
        <v>2.16</v>
      </c>
      <c r="M36" s="198">
        <f t="shared" si="3"/>
        <v>0.17280000000000001</v>
      </c>
      <c r="N36" s="97">
        <v>40</v>
      </c>
      <c r="O36" s="166">
        <f t="shared" si="4"/>
        <v>6.9120000000000008</v>
      </c>
      <c r="P36" s="231">
        <f t="shared" si="5"/>
        <v>76.032000000000011</v>
      </c>
      <c r="Q36" s="266"/>
      <c r="R36" s="88">
        <f t="shared" si="0"/>
        <v>1153.44</v>
      </c>
      <c r="S36" s="786">
        <f>IFERROR(IF(OR('КРОВЛЯ Рязань'!$T$6="Завод 'ТЕХНО' г.Рязань",'КРОВЛЯ Рязань'!$T$6="Завод 'ТЕХНО' г.Заинск"),IF('КРОВЛЯ Рязань'!$T$6="Завод 'ТЕХНО' г.Рязань",'КРОВЛЯ Рязань'!R36*(1-'КРОВЛЯ Рязань'!$V$5-'КРОВЛЯ Рязань'!V36)+IFERROR(SEARCH("комп",J36)/SEARCH("комп",J36)*'КРОВЛЯ Рязань'!$R$5,'КРОВЛЯ Рязань'!S$5),'КРОВЛЯ Заинск'!R36*(1-'КРОВЛЯ Рязань'!$V$5-'КРОВЛЯ Рязань'!V36)+IFERROR(SEARCH("комп",J36)/SEARCH("комп",J36)*'КРОВЛЯ Рязань'!$R$5,'КРОВЛЯ Рязань'!S$5)),'КРОВЛЯ Юрга'!R36*(1-'КРОВЛЯ Рязань'!$V$5-'КРОВЛЯ Рязань'!V36)+IFERROR(SEARCH("комп",J36)/SEARCH("комп",J36)*'КРОВЛЯ Рязань'!$R$5,'КРОВЛЯ Рязань'!S$5)),"нет")</f>
        <v>6675</v>
      </c>
      <c r="T36" s="101">
        <f t="shared" si="1"/>
        <v>534</v>
      </c>
      <c r="U36" s="1221"/>
      <c r="V36" s="1229"/>
      <c r="W36" s="1221"/>
      <c r="X36" s="1154"/>
      <c r="Y36" s="1155"/>
      <c r="Z36" s="1156"/>
      <c r="AA36" s="1157"/>
      <c r="AB36" s="991"/>
      <c r="AC36" s="1022"/>
      <c r="AD36" s="1024"/>
      <c r="AE36" s="2"/>
      <c r="AF36" s="2"/>
    </row>
    <row r="37" spans="1:32" ht="22.5" customHeight="1" thickBot="1" x14ac:dyDescent="0.3">
      <c r="A37" s="751"/>
      <c r="B37" s="203">
        <v>1200</v>
      </c>
      <c r="C37" s="204">
        <v>600</v>
      </c>
      <c r="D37" s="209">
        <v>90</v>
      </c>
      <c r="E37" s="263">
        <v>71.428571428571431</v>
      </c>
      <c r="F37" s="263">
        <v>11.482216343327455</v>
      </c>
      <c r="G37" s="264" t="s">
        <v>703</v>
      </c>
      <c r="H37" s="604" t="str">
        <f>IF(OR('КРОВЛЯ Рязань'!$T$6="Завод 'ТЕХНО' г.Рязань",'КРОВЛЯ Рязань'!$T$6="Завод 'ТЕХНО' г.Заинск"),'КРОВЛЯ Рязань'!E37,'КРОВЛЯ Юрга'!E37)</f>
        <v>C</v>
      </c>
      <c r="I37" s="592">
        <f>IF(OR('КРОВЛЯ Рязань'!$T$6="Завод 'ТЕХНО' г.Рязань",'КРОВЛЯ Рязань'!$T$6="Завод 'ТЕХНО' г.Заинск"),'КРОВЛЯ Рязань'!I37,'КРОВЛЯ Юрга'!I37)</f>
        <v>74.131199999999993</v>
      </c>
      <c r="J37" s="177">
        <v>279.93599999999998</v>
      </c>
      <c r="K37" s="97">
        <v>2</v>
      </c>
      <c r="L37" s="181">
        <f t="shared" si="2"/>
        <v>1.44</v>
      </c>
      <c r="M37" s="198">
        <f t="shared" si="3"/>
        <v>0.12959999999999999</v>
      </c>
      <c r="N37" s="97">
        <v>52</v>
      </c>
      <c r="O37" s="166">
        <f t="shared" si="4"/>
        <v>6.7391999999999994</v>
      </c>
      <c r="P37" s="231">
        <f t="shared" si="5"/>
        <v>74.131199999999993</v>
      </c>
      <c r="Q37" s="266"/>
      <c r="R37" s="88">
        <f t="shared" si="0"/>
        <v>865.07999999999993</v>
      </c>
      <c r="S37" s="786">
        <f>IFERROR(IF(OR('КРОВЛЯ Рязань'!$T$6="Завод 'ТЕХНО' г.Рязань",'КРОВЛЯ Рязань'!$T$6="Завод 'ТЕХНО' г.Заинск"),IF('КРОВЛЯ Рязань'!$T$6="Завод 'ТЕХНО' г.Рязань",'КРОВЛЯ Рязань'!R37*(1-'КРОВЛЯ Рязань'!$V$5-'КРОВЛЯ Рязань'!V37)+IFERROR(SEARCH("комп",J37)/SEARCH("комп",J37)*'КРОВЛЯ Рязань'!$R$5,'КРОВЛЯ Рязань'!S$5),'КРОВЛЯ Заинск'!R37*(1-'КРОВЛЯ Рязань'!$V$5-'КРОВЛЯ Рязань'!V37)+IFERROR(SEARCH("комп",J37)/SEARCH("комп",J37)*'КРОВЛЯ Рязань'!$R$5,'КРОВЛЯ Рязань'!S$5)),'КРОВЛЯ Юрга'!R37*(1-'КРОВЛЯ Рязань'!$V$5-'КРОВЛЯ Рязань'!V37)+IFERROR(SEARCH("комп",J37)/SEARCH("комп",J37)*'КРОВЛЯ Рязань'!$R$5,'КРОВЛЯ Рязань'!S$5)),"нет")</f>
        <v>6675</v>
      </c>
      <c r="T37" s="101">
        <f t="shared" si="1"/>
        <v>600.75</v>
      </c>
      <c r="U37" s="1221"/>
      <c r="V37" s="1229"/>
      <c r="W37" s="1221"/>
      <c r="X37" s="1154"/>
      <c r="Y37" s="1155"/>
      <c r="Z37" s="1156"/>
      <c r="AA37" s="1157"/>
      <c r="AB37" s="991"/>
      <c r="AC37" s="1022"/>
      <c r="AD37" s="1024"/>
      <c r="AE37" s="2"/>
      <c r="AF37" s="2"/>
    </row>
    <row r="38" spans="1:32" ht="22.5" customHeight="1" thickBot="1" x14ac:dyDescent="0.3">
      <c r="A38" s="751"/>
      <c r="B38" s="203">
        <v>1200</v>
      </c>
      <c r="C38" s="204">
        <v>600</v>
      </c>
      <c r="D38" s="209">
        <v>100</v>
      </c>
      <c r="E38" s="263"/>
      <c r="F38" s="263"/>
      <c r="G38" s="264" t="s">
        <v>195</v>
      </c>
      <c r="H38" s="604" t="str">
        <f>IF(OR('КРОВЛЯ Рязань'!$T$6="Завод 'ТЕХНО' г.Рязань",'КРОВЛЯ Рязань'!$T$6="Завод 'ТЕХНО' г.Заинск"),'КРОВЛЯ Рязань'!E38,'КРОВЛЯ Юрга'!E38)</f>
        <v>Б</v>
      </c>
      <c r="I38" s="592" t="str">
        <f>IF(OR('КРОВЛЯ Рязань'!$T$6="Завод 'ТЕХНО' г.Рязань",'КРОВЛЯ Рязань'!$T$6="Завод 'ТЕХНО' г.Заинск"),'КРОВЛЯ Рязань'!I38,'КРОВЛЯ Юрга'!I38)</f>
        <v xml:space="preserve"> </v>
      </c>
      <c r="J38" s="177"/>
      <c r="K38" s="97">
        <v>3</v>
      </c>
      <c r="L38" s="181">
        <f t="shared" si="2"/>
        <v>2.16</v>
      </c>
      <c r="M38" s="198">
        <f t="shared" si="3"/>
        <v>0.216</v>
      </c>
      <c r="N38" s="97">
        <v>32</v>
      </c>
      <c r="O38" s="166">
        <f t="shared" si="4"/>
        <v>6.9119999999999999</v>
      </c>
      <c r="P38" s="231">
        <f t="shared" si="5"/>
        <v>76.031999999999996</v>
      </c>
      <c r="Q38" s="266"/>
      <c r="R38" s="88">
        <f>IFERROR(M38*S38,"---")</f>
        <v>1441.8</v>
      </c>
      <c r="S38" s="786">
        <f>IFERROR(IF(OR('КРОВЛЯ Рязань'!$T$6="Завод 'ТЕХНО' г.Рязань",'КРОВЛЯ Рязань'!$T$6="Завод 'ТЕХНО' г.Заинск"),IF('КРОВЛЯ Рязань'!$T$6="Завод 'ТЕХНО' г.Рязань",'КРОВЛЯ Рязань'!R38*(1-'КРОВЛЯ Рязань'!$V$5-'КРОВЛЯ Рязань'!V38)+IFERROR(SEARCH("комп",J38)/SEARCH("комп",J38)*'КРОВЛЯ Рязань'!$R$5,'КРОВЛЯ Рязань'!S$5),'КРОВЛЯ Заинск'!R38*(1-'КРОВЛЯ Рязань'!$V$5-'КРОВЛЯ Рязань'!V38)+IFERROR(SEARCH("комп",J38)/SEARCH("комп",J38)*'КРОВЛЯ Рязань'!$R$5,'КРОВЛЯ Рязань'!S$5)),'КРОВЛЯ Юрга'!R38*(1-'КРОВЛЯ Рязань'!$V$5-'КРОВЛЯ Рязань'!V38)+IFERROR(SEARCH("комп",J38)/SEARCH("комп",J38)*'КРОВЛЯ Рязань'!$R$5,'КРОВЛЯ Рязань'!S$5)),"нет")</f>
        <v>6675</v>
      </c>
      <c r="T38" s="101">
        <f>IFERROR(S38*D38/1000,"---")</f>
        <v>667.5</v>
      </c>
      <c r="U38" s="1221"/>
      <c r="V38" s="1229"/>
      <c r="W38" s="1221"/>
      <c r="X38" s="1154"/>
      <c r="Y38" s="1155"/>
      <c r="Z38" s="1156"/>
      <c r="AA38" s="1157"/>
      <c r="AB38" s="991"/>
      <c r="AC38" s="1022"/>
      <c r="AD38" s="1036"/>
      <c r="AE38" s="2"/>
      <c r="AF38" s="2"/>
    </row>
    <row r="39" spans="1:32" ht="22.5" customHeight="1" thickBot="1" x14ac:dyDescent="0.3">
      <c r="A39" s="751"/>
      <c r="B39" s="203">
        <v>1200</v>
      </c>
      <c r="C39" s="204">
        <v>600</v>
      </c>
      <c r="D39" s="209">
        <v>110</v>
      </c>
      <c r="E39" s="263">
        <v>71.428571428571431</v>
      </c>
      <c r="F39" s="263">
        <v>11.273448773448774</v>
      </c>
      <c r="G39" s="264" t="s">
        <v>196</v>
      </c>
      <c r="H39" s="604" t="str">
        <f>IF(OR('КРОВЛЯ Рязань'!$T$6="Завод 'ТЕХНО' г.Рязань",'КРОВЛЯ Рязань'!$T$6="Завод 'ТЕХНО' г.Заинск"),'КРОВЛЯ Рязань'!E39,'КРОВЛЯ Юрга'!E39)</f>
        <v>C</v>
      </c>
      <c r="I39" s="592">
        <f>IF(OR('КРОВЛЯ Рязань'!$T$6="Завод 'ТЕХНО' г.Рязань",'КРОВЛЯ Рязань'!$T$6="Завод 'ТЕХНО' г.Заинск"),'КРОВЛЯ Рязань'!I39,'КРОВЛЯ Юрга'!I39)</f>
        <v>76.032000000000011</v>
      </c>
      <c r="J39" s="177">
        <v>228.09600000000003</v>
      </c>
      <c r="K39" s="97">
        <v>2</v>
      </c>
      <c r="L39" s="181">
        <f t="shared" si="2"/>
        <v>1.44</v>
      </c>
      <c r="M39" s="198">
        <f t="shared" si="3"/>
        <v>0.15840000000000001</v>
      </c>
      <c r="N39" s="97">
        <v>40</v>
      </c>
      <c r="O39" s="166">
        <f t="shared" si="4"/>
        <v>6.3360000000000003</v>
      </c>
      <c r="P39" s="231">
        <f t="shared" si="5"/>
        <v>69.695999999999998</v>
      </c>
      <c r="Q39" s="266"/>
      <c r="R39" s="88">
        <f t="shared" si="0"/>
        <v>1057.3200000000002</v>
      </c>
      <c r="S39" s="786">
        <f>IFERROR(IF(OR('КРОВЛЯ Рязань'!$T$6="Завод 'ТЕХНО' г.Рязань",'КРОВЛЯ Рязань'!$T$6="Завод 'ТЕХНО' г.Заинск"),IF('КРОВЛЯ Рязань'!$T$6="Завод 'ТЕХНО' г.Рязань",'КРОВЛЯ Рязань'!R39*(1-'КРОВЛЯ Рязань'!$V$5-'КРОВЛЯ Рязань'!V39)+IFERROR(SEARCH("комп",J39)/SEARCH("комп",J39)*'КРОВЛЯ Рязань'!$R$5,'КРОВЛЯ Рязань'!S$5),'КРОВЛЯ Заинск'!R39*(1-'КРОВЛЯ Рязань'!$V$5-'КРОВЛЯ Рязань'!V39)+IFERROR(SEARCH("комп",J39)/SEARCH("комп",J39)*'КРОВЛЯ Рязань'!$R$5,'КРОВЛЯ Рязань'!S$5)),'КРОВЛЯ Юрга'!R39*(1-'КРОВЛЯ Рязань'!$V$5-'КРОВЛЯ Рязань'!V39)+IFERROR(SEARCH("комп",J39)/SEARCH("комп",J39)*'КРОВЛЯ Рязань'!$R$5,'КРОВЛЯ Рязань'!S$5)),"нет")</f>
        <v>6675</v>
      </c>
      <c r="T39" s="101">
        <f t="shared" si="1"/>
        <v>734.25</v>
      </c>
      <c r="U39" s="1221"/>
      <c r="V39" s="1229"/>
      <c r="W39" s="1221"/>
      <c r="X39" s="1154"/>
      <c r="Y39" s="1155"/>
      <c r="Z39" s="1156"/>
      <c r="AA39" s="1157"/>
      <c r="AB39" s="991"/>
      <c r="AC39" s="1022"/>
      <c r="AD39" s="1024"/>
      <c r="AE39" s="2"/>
      <c r="AF39" s="2"/>
    </row>
    <row r="40" spans="1:32" ht="22.5" customHeight="1" thickBot="1" x14ac:dyDescent="0.3">
      <c r="A40" s="751"/>
      <c r="B40" s="203">
        <v>1200</v>
      </c>
      <c r="C40" s="204">
        <v>600</v>
      </c>
      <c r="D40" s="209">
        <v>120</v>
      </c>
      <c r="E40" s="263">
        <v>71.428571428571431</v>
      </c>
      <c r="F40" s="263">
        <v>10.333994708994709</v>
      </c>
      <c r="G40" s="264" t="s">
        <v>197</v>
      </c>
      <c r="H40" s="604" t="str">
        <f>IF(OR('КРОВЛЯ Рязань'!$T$6="Завод 'ТЕХНО' г.Рязань",'КРОВЛЯ Рязань'!$T$6="Завод 'ТЕХНО' г.Заинск"),'КРОВЛЯ Рязань'!E40,'КРОВЛЯ Юрга'!E40)</f>
        <v>C</v>
      </c>
      <c r="I40" s="592">
        <f>IF(OR('КРОВЛЯ Рязань'!$T$6="Завод 'ТЕХНО' г.Рязань",'КРОВЛЯ Рязань'!$T$6="Завод 'ТЕХНО' г.Заинск"),'КРОВЛЯ Рязань'!I40,'КРОВЛЯ Юрга'!I40)</f>
        <v>76.031999999999982</v>
      </c>
      <c r="J40" s="177">
        <v>248.83200000000005</v>
      </c>
      <c r="K40" s="97">
        <v>2</v>
      </c>
      <c r="L40" s="181">
        <f t="shared" si="2"/>
        <v>1.44</v>
      </c>
      <c r="M40" s="198">
        <f t="shared" si="3"/>
        <v>0.17279999999999998</v>
      </c>
      <c r="N40" s="97">
        <v>40</v>
      </c>
      <c r="O40" s="166">
        <f t="shared" si="4"/>
        <v>6.911999999999999</v>
      </c>
      <c r="P40" s="231">
        <f t="shared" si="5"/>
        <v>76.031999999999982</v>
      </c>
      <c r="Q40" s="266"/>
      <c r="R40" s="88">
        <f t="shared" si="0"/>
        <v>1153.4399999999998</v>
      </c>
      <c r="S40" s="786">
        <f>IFERROR(IF(OR('КРОВЛЯ Рязань'!$T$6="Завод 'ТЕХНО' г.Рязань",'КРОВЛЯ Рязань'!$T$6="Завод 'ТЕХНО' г.Заинск"),IF('КРОВЛЯ Рязань'!$T$6="Завод 'ТЕХНО' г.Рязань",'КРОВЛЯ Рязань'!R40*(1-'КРОВЛЯ Рязань'!$V$5-'КРОВЛЯ Рязань'!V40)+IFERROR(SEARCH("комп",J40)/SEARCH("комп",J40)*'КРОВЛЯ Рязань'!$R$5,'КРОВЛЯ Рязань'!S$5),'КРОВЛЯ Заинск'!R40*(1-'КРОВЛЯ Рязань'!$V$5-'КРОВЛЯ Рязань'!V40)+IFERROR(SEARCH("комп",J40)/SEARCH("комп",J40)*'КРОВЛЯ Рязань'!$R$5,'КРОВЛЯ Рязань'!S$5)),'КРОВЛЯ Юрга'!R40*(1-'КРОВЛЯ Рязань'!$V$5-'КРОВЛЯ Рязань'!V40)+IFERROR(SEARCH("комп",J40)/SEARCH("комп",J40)*'КРОВЛЯ Рязань'!$R$5,'КРОВЛЯ Рязань'!S$5)),"нет")</f>
        <v>6675</v>
      </c>
      <c r="T40" s="101">
        <f t="shared" si="1"/>
        <v>801</v>
      </c>
      <c r="U40" s="1221"/>
      <c r="V40" s="1229"/>
      <c r="W40" s="1221"/>
      <c r="X40" s="1154"/>
      <c r="Y40" s="1155"/>
      <c r="Z40" s="1156"/>
      <c r="AA40" s="1157"/>
      <c r="AB40" s="991"/>
      <c r="AC40" s="1022"/>
      <c r="AD40" s="1024"/>
      <c r="AE40" s="2"/>
      <c r="AF40" s="2"/>
    </row>
    <row r="41" spans="1:32" ht="22.5" customHeight="1" thickBot="1" x14ac:dyDescent="0.3">
      <c r="A41" s="751"/>
      <c r="B41" s="203">
        <v>1200</v>
      </c>
      <c r="C41" s="204">
        <v>600</v>
      </c>
      <c r="D41" s="209">
        <v>130</v>
      </c>
      <c r="E41" s="263">
        <v>71.428571428571431</v>
      </c>
      <c r="F41" s="263">
        <v>10.598968932302265</v>
      </c>
      <c r="G41" s="264" t="s">
        <v>263</v>
      </c>
      <c r="H41" s="604" t="str">
        <f>IF(OR('КРОВЛЯ Рязань'!$T$6="Завод 'ТЕХНО' г.Рязань",'КРОВЛЯ Рязань'!$T$6="Завод 'ТЕХНО' г.Заинск"),'КРОВЛЯ Рязань'!E41,'КРОВЛЯ Юрга'!E41)</f>
        <v>C</v>
      </c>
      <c r="I41" s="592">
        <f>IF(OR('КРОВЛЯ Рязань'!$T$6="Завод 'ТЕХНО' г.Рязань",'КРОВЛЯ Рязань'!$T$6="Завод 'ТЕХНО' г.Заинск"),'КРОВЛЯ Рязань'!I41,'КРОВЛЯ Юрга'!I41)</f>
        <v>74.131199999999993</v>
      </c>
      <c r="J41" s="177">
        <v>242.6112</v>
      </c>
      <c r="K41" s="97">
        <v>2</v>
      </c>
      <c r="L41" s="181">
        <f t="shared" si="2"/>
        <v>1.44</v>
      </c>
      <c r="M41" s="198">
        <f t="shared" si="3"/>
        <v>0.18719999999999998</v>
      </c>
      <c r="N41" s="97">
        <v>36</v>
      </c>
      <c r="O41" s="166">
        <f t="shared" si="4"/>
        <v>6.7391999999999994</v>
      </c>
      <c r="P41" s="231">
        <f t="shared" si="5"/>
        <v>74.131199999999993</v>
      </c>
      <c r="Q41" s="266"/>
      <c r="R41" s="88">
        <f t="shared" si="0"/>
        <v>1249.56</v>
      </c>
      <c r="S41" s="786">
        <f>IFERROR(IF(OR('КРОВЛЯ Рязань'!$T$6="Завод 'ТЕХНО' г.Рязань",'КРОВЛЯ Рязань'!$T$6="Завод 'ТЕХНО' г.Заинск"),IF('КРОВЛЯ Рязань'!$T$6="Завод 'ТЕХНО' г.Рязань",'КРОВЛЯ Рязань'!R41*(1-'КРОВЛЯ Рязань'!$V$5-'КРОВЛЯ Рязань'!V41)+IFERROR(SEARCH("комп",J41)/SEARCH("комп",J41)*'КРОВЛЯ Рязань'!$R$5,'КРОВЛЯ Рязань'!S$5),'КРОВЛЯ Заинск'!R41*(1-'КРОВЛЯ Рязань'!$V$5-'КРОВЛЯ Рязань'!V41)+IFERROR(SEARCH("комп",J41)/SEARCH("комп",J41)*'КРОВЛЯ Рязань'!$R$5,'КРОВЛЯ Рязань'!S$5)),'КРОВЛЯ Юрга'!R41*(1-'КРОВЛЯ Рязань'!$V$5-'КРОВЛЯ Рязань'!V41)+IFERROR(SEARCH("комп",J41)/SEARCH("комп",J41)*'КРОВЛЯ Рязань'!$R$5,'КРОВЛЯ Рязань'!S$5)),"нет")</f>
        <v>6675</v>
      </c>
      <c r="T41" s="101">
        <f t="shared" si="1"/>
        <v>867.75</v>
      </c>
      <c r="U41" s="1221"/>
      <c r="V41" s="1229"/>
      <c r="W41" s="1221"/>
      <c r="X41" s="1154"/>
      <c r="Y41" s="1155"/>
      <c r="Z41" s="1156"/>
      <c r="AA41" s="1157"/>
      <c r="AB41" s="991"/>
      <c r="AC41" s="1022"/>
      <c r="AD41" s="1024"/>
      <c r="AE41" s="2"/>
      <c r="AF41" s="2"/>
    </row>
    <row r="42" spans="1:32" ht="22.5" customHeight="1" thickBot="1" x14ac:dyDescent="0.3">
      <c r="A42" s="751"/>
      <c r="B42" s="203">
        <v>1200</v>
      </c>
      <c r="C42" s="204">
        <v>600</v>
      </c>
      <c r="D42" s="209">
        <v>140</v>
      </c>
      <c r="E42" s="263">
        <v>71.428571428571431</v>
      </c>
      <c r="F42" s="263">
        <v>11.072137188208616</v>
      </c>
      <c r="G42" s="264" t="s">
        <v>264</v>
      </c>
      <c r="H42" s="604" t="str">
        <f>IF(OR('КРОВЛЯ Рязань'!$T$6="Завод 'ТЕХНО' г.Рязань",'КРОВЛЯ Рязань'!$T$6="Завод 'ТЕХНО' г.Заинск"),'КРОВЛЯ Рязань'!E42,'КРОВЛЯ Юрга'!E42)</f>
        <v>C</v>
      </c>
      <c r="I42" s="592">
        <f>IF(OR('КРОВЛЯ Рязань'!$T$6="Завод 'ТЕХНО' г.Рязань",'КРОВЛЯ Рязань'!$T$6="Завод 'ТЕХНО' г.Заинск"),'КРОВЛЯ Рязань'!I42,'КРОВЛЯ Юрга'!I42)</f>
        <v>77.414400000000001</v>
      </c>
      <c r="J42" s="177">
        <v>232.2432</v>
      </c>
      <c r="K42" s="97">
        <v>2</v>
      </c>
      <c r="L42" s="181">
        <f t="shared" si="2"/>
        <v>1.44</v>
      </c>
      <c r="M42" s="198">
        <f t="shared" si="3"/>
        <v>0.2016</v>
      </c>
      <c r="N42" s="97">
        <v>32</v>
      </c>
      <c r="O42" s="166">
        <f t="shared" si="4"/>
        <v>6.4512</v>
      </c>
      <c r="P42" s="231">
        <f t="shared" si="5"/>
        <v>70.963200000000001</v>
      </c>
      <c r="Q42" s="266"/>
      <c r="R42" s="88">
        <f t="shared" si="0"/>
        <v>1345.68</v>
      </c>
      <c r="S42" s="786">
        <f>IFERROR(IF(OR('КРОВЛЯ Рязань'!$T$6="Завод 'ТЕХНО' г.Рязань",'КРОВЛЯ Рязань'!$T$6="Завод 'ТЕХНО' г.Заинск"),IF('КРОВЛЯ Рязань'!$T$6="Завод 'ТЕХНО' г.Рязань",'КРОВЛЯ Рязань'!R42*(1-'КРОВЛЯ Рязань'!$V$5-'КРОВЛЯ Рязань'!V42)+IFERROR(SEARCH("комп",J42)/SEARCH("комп",J42)*'КРОВЛЯ Рязань'!$R$5,'КРОВЛЯ Рязань'!S$5),'КРОВЛЯ Заинск'!R42*(1-'КРОВЛЯ Рязань'!$V$5-'КРОВЛЯ Рязань'!V42)+IFERROR(SEARCH("комп",J42)/SEARCH("комп",J42)*'КРОВЛЯ Рязань'!$R$5,'КРОВЛЯ Рязань'!S$5)),'КРОВЛЯ Юрга'!R42*(1-'КРОВЛЯ Рязань'!$V$5-'КРОВЛЯ Рязань'!V42)+IFERROR(SEARCH("комп",J42)/SEARCH("комп",J42)*'КРОВЛЯ Рязань'!$R$5,'КРОВЛЯ Рязань'!S$5)),"нет")</f>
        <v>6675</v>
      </c>
      <c r="T42" s="101">
        <f t="shared" si="1"/>
        <v>934.5</v>
      </c>
      <c r="U42" s="1221"/>
      <c r="V42" s="1229"/>
      <c r="W42" s="1221"/>
      <c r="X42" s="1154"/>
      <c r="Y42" s="1155"/>
      <c r="Z42" s="1156"/>
      <c r="AA42" s="1157"/>
      <c r="AB42" s="991"/>
      <c r="AC42" s="1022"/>
      <c r="AD42" s="1024"/>
      <c r="AE42" s="2"/>
      <c r="AF42" s="2"/>
    </row>
    <row r="43" spans="1:32" ht="22.5" customHeight="1" thickBot="1" x14ac:dyDescent="0.3">
      <c r="A43" s="751"/>
      <c r="B43" s="240">
        <v>1200</v>
      </c>
      <c r="C43" s="241">
        <v>600</v>
      </c>
      <c r="D43" s="242">
        <v>150</v>
      </c>
      <c r="E43" s="289">
        <v>71.428571428571431</v>
      </c>
      <c r="F43" s="289">
        <v>10.333994708994709</v>
      </c>
      <c r="G43" s="317" t="s">
        <v>198</v>
      </c>
      <c r="H43" s="604" t="str">
        <f>IF(OR('КРОВЛЯ Рязань'!$T$6="Завод 'ТЕХНО' г.Рязань",'КРОВЛЯ Рязань'!$T$6="Завод 'ТЕХНО' г.Заинск"),'КРОВЛЯ Рязань'!E43,'КРОВЛЯ Юрга'!E43)</f>
        <v>C</v>
      </c>
      <c r="I43" s="593">
        <f>IF(OR('КРОВЛЯ Рязань'!$T$6="Завод 'ТЕХНО' г.Рязань",'КРОВЛЯ Рязань'!$T$6="Завод 'ТЕХНО' г.Заинск"),'КРОВЛЯ Рязань'!I43,'КРОВЛЯ Юрга'!I43)</f>
        <v>76.031999999999996</v>
      </c>
      <c r="J43" s="455">
        <v>248.83199999999999</v>
      </c>
      <c r="K43" s="306">
        <v>2</v>
      </c>
      <c r="L43" s="183">
        <f t="shared" si="2"/>
        <v>1.44</v>
      </c>
      <c r="M43" s="189">
        <f t="shared" si="3"/>
        <v>0.216</v>
      </c>
      <c r="N43" s="306">
        <v>32</v>
      </c>
      <c r="O43" s="167">
        <f t="shared" si="4"/>
        <v>6.9119999999999999</v>
      </c>
      <c r="P43" s="260">
        <f t="shared" si="5"/>
        <v>76.031999999999996</v>
      </c>
      <c r="Q43" s="308"/>
      <c r="R43" s="479">
        <f t="shared" si="0"/>
        <v>1441.8</v>
      </c>
      <c r="S43" s="787">
        <f>IFERROR(IF(OR('КРОВЛЯ Рязань'!$T$6="Завод 'ТЕХНО' г.Рязань",'КРОВЛЯ Рязань'!$T$6="Завод 'ТЕХНО' г.Заинск"),IF('КРОВЛЯ Рязань'!$T$6="Завод 'ТЕХНО' г.Рязань",'КРОВЛЯ Рязань'!R43*(1-'КРОВЛЯ Рязань'!$V$5-'КРОВЛЯ Рязань'!V43)+IFERROR(SEARCH("комп",J43)/SEARCH("комп",J43)*'КРОВЛЯ Рязань'!$R$5,'КРОВЛЯ Рязань'!S$5),'КРОВЛЯ Заинск'!R43*(1-'КРОВЛЯ Рязань'!$V$5-'КРОВЛЯ Рязань'!V43)+IFERROR(SEARCH("комп",J43)/SEARCH("комп",J43)*'КРОВЛЯ Рязань'!$R$5,'КРОВЛЯ Рязань'!S$5)),'КРОВЛЯ Юрга'!R43*(1-'КРОВЛЯ Рязань'!$V$5-'КРОВЛЯ Рязань'!V43)+IFERROR(SEARCH("комп",J43)/SEARCH("комп",J43)*'КРОВЛЯ Рязань'!$R$5,'КРОВЛЯ Рязань'!S$5)),"нет")</f>
        <v>6675</v>
      </c>
      <c r="T43" s="102">
        <f t="shared" si="1"/>
        <v>1001.25</v>
      </c>
      <c r="U43" s="1221"/>
      <c r="V43" s="1229"/>
      <c r="W43" s="1221"/>
      <c r="X43" s="1154"/>
      <c r="Y43" s="1155"/>
      <c r="Z43" s="1156"/>
      <c r="AA43" s="1157"/>
      <c r="AB43" s="991"/>
      <c r="AC43" s="1022"/>
      <c r="AD43" s="1024"/>
      <c r="AE43" s="2"/>
      <c r="AF43" s="2"/>
    </row>
    <row r="44" spans="1:32" ht="22.5" hidden="1" customHeight="1" thickBot="1" x14ac:dyDescent="0.3">
      <c r="A44" s="751"/>
      <c r="B44" s="249">
        <v>1200</v>
      </c>
      <c r="C44" s="287">
        <v>600</v>
      </c>
      <c r="D44" s="288">
        <v>160</v>
      </c>
      <c r="E44" s="319">
        <v>71.428571428571431</v>
      </c>
      <c r="F44" s="319">
        <v>11.072137188208616</v>
      </c>
      <c r="G44" s="310" t="s">
        <v>265</v>
      </c>
      <c r="H44" s="604" t="str">
        <f>IF(OR('КРОВЛЯ Рязань'!$T$6="Завод 'ТЕХНО' г.Рязань",'КРОВЛЯ Рязань'!$T$6="Завод 'ТЕХНО' г.Заинск"),'КРОВЛЯ Рязань'!E44,'КРОВЛЯ Юрга'!E44)</f>
        <v>C</v>
      </c>
      <c r="I44" s="594">
        <f>IF(OR('КРОВЛЯ Рязань'!$T$6="Завод 'ТЕХНО' г.Рязань",'КРОВЛЯ Рязань'!$T$6="Завод 'ТЕХНО' г.Заинск"),'КРОВЛЯ Рязань'!I44,'КРОВЛЯ Юрга'!I44)</f>
        <v>77.414399999999986</v>
      </c>
      <c r="J44" s="178">
        <v>232.2432</v>
      </c>
      <c r="K44" s="320">
        <v>2</v>
      </c>
      <c r="L44" s="185">
        <f t="shared" si="2"/>
        <v>1.44</v>
      </c>
      <c r="M44" s="188">
        <f t="shared" si="3"/>
        <v>0.23039999999999997</v>
      </c>
      <c r="N44" s="320">
        <v>28</v>
      </c>
      <c r="O44" s="168">
        <f t="shared" si="4"/>
        <v>6.4511999999999992</v>
      </c>
      <c r="P44" s="223">
        <f t="shared" si="5"/>
        <v>70.963199999999986</v>
      </c>
      <c r="Q44" s="612"/>
      <c r="R44" s="88">
        <f t="shared" si="0"/>
        <v>1537.9199999999998</v>
      </c>
      <c r="S44" s="786">
        <f>IFERROR(IF(OR('КРОВЛЯ Рязань'!$T$6="Завод 'ТЕХНО' г.Рязань",'КРОВЛЯ Рязань'!$T$6="Завод 'ТЕХНО' г.Заинск"),IF('КРОВЛЯ Рязань'!$T$6="Завод 'ТЕХНО' г.Рязань",'КРОВЛЯ Рязань'!R44*(1-'КРОВЛЯ Рязань'!$V$5-'КРОВЛЯ Рязань'!V44)+IFERROR(SEARCH("комп",J44)/SEARCH("комп",J44)*'КРОВЛЯ Рязань'!$R$5,'КРОВЛЯ Рязань'!S$5),'КРОВЛЯ Заинск'!R44*(1-'КРОВЛЯ Рязань'!$V$5-'КРОВЛЯ Рязань'!V44)+IFERROR(SEARCH("комп",J44)/SEARCH("комп",J44)*'КРОВЛЯ Рязань'!$R$5,'КРОВЛЯ Рязань'!S$5)),'КРОВЛЯ Юрга'!R44*(1-'КРОВЛЯ Рязань'!$V$5-'КРОВЛЯ Рязань'!V44)+IFERROR(SEARCH("комп",J44)/SEARCH("комп",J44)*'КРОВЛЯ Рязань'!$R$5,'КРОВЛЯ Рязань'!S$5)),"нет")</f>
        <v>6675</v>
      </c>
      <c r="T44" s="101">
        <f t="shared" si="1"/>
        <v>1068</v>
      </c>
      <c r="U44" s="1221"/>
      <c r="V44" s="1229"/>
      <c r="W44" s="1221"/>
      <c r="X44" s="1154"/>
      <c r="Y44" s="1155"/>
      <c r="Z44" s="1156"/>
      <c r="AA44" s="1157"/>
      <c r="AB44" s="991"/>
      <c r="AC44" s="1022"/>
      <c r="AD44" s="1024"/>
      <c r="AE44" s="2"/>
      <c r="AF44" s="2"/>
    </row>
    <row r="45" spans="1:32" ht="22.5" hidden="1" customHeight="1" thickBot="1" x14ac:dyDescent="0.3">
      <c r="A45" s="751"/>
      <c r="B45" s="203">
        <v>1200</v>
      </c>
      <c r="C45" s="204">
        <v>600</v>
      </c>
      <c r="D45" s="209">
        <v>170</v>
      </c>
      <c r="E45" s="263">
        <v>71.428571428571431</v>
      </c>
      <c r="F45" s="263">
        <v>10.420835000666933</v>
      </c>
      <c r="G45" s="264" t="s">
        <v>266</v>
      </c>
      <c r="H45" s="604" t="str">
        <f>IF(OR('КРОВЛЯ Рязань'!$T$6="Завод 'ТЕХНО' г.Рязань",'КРОВЛЯ Рязань'!$T$6="Завод 'ТЕХНО' г.Заинск"),'КРОВЛЯ Рязань'!E45,'КРОВЛЯ Юрга'!E45)</f>
        <v>C</v>
      </c>
      <c r="I45" s="592">
        <f>IF(OR('КРОВЛЯ Рязань'!$T$6="Завод 'ТЕХНО' г.Рязань",'КРОВЛЯ Рязань'!$T$6="Завод 'ТЕХНО' г.Заинск"),'КРОВЛЯ Рязань'!I45,'КРОВЛЯ Юрга'!I45)</f>
        <v>75.398399999999995</v>
      </c>
      <c r="J45" s="177">
        <v>246.75840000000002</v>
      </c>
      <c r="K45" s="97">
        <v>2</v>
      </c>
      <c r="L45" s="181">
        <f t="shared" si="2"/>
        <v>1.44</v>
      </c>
      <c r="M45" s="198">
        <f t="shared" si="3"/>
        <v>0.24479999999999999</v>
      </c>
      <c r="N45" s="97">
        <v>28</v>
      </c>
      <c r="O45" s="166">
        <f t="shared" si="4"/>
        <v>6.8544</v>
      </c>
      <c r="P45" s="231">
        <f t="shared" si="5"/>
        <v>75.398399999999995</v>
      </c>
      <c r="Q45" s="266"/>
      <c r="R45" s="88">
        <f t="shared" si="0"/>
        <v>1634.04</v>
      </c>
      <c r="S45" s="786">
        <f>IFERROR(IF(OR('КРОВЛЯ Рязань'!$T$6="Завод 'ТЕХНО' г.Рязань",'КРОВЛЯ Рязань'!$T$6="Завод 'ТЕХНО' г.Заинск"),IF('КРОВЛЯ Рязань'!$T$6="Завод 'ТЕХНО' г.Рязань",'КРОВЛЯ Рязань'!R45*(1-'КРОВЛЯ Рязань'!$V$5-'КРОВЛЯ Рязань'!V45)+IFERROR(SEARCH("комп",J45)/SEARCH("комп",J45)*'КРОВЛЯ Рязань'!$R$5,'КРОВЛЯ Рязань'!S$5),'КРОВЛЯ Заинск'!R45*(1-'КРОВЛЯ Рязань'!$V$5-'КРОВЛЯ Рязань'!V45)+IFERROR(SEARCH("комп",J45)/SEARCH("комп",J45)*'КРОВЛЯ Рязань'!$R$5,'КРОВЛЯ Рязань'!S$5)),'КРОВЛЯ Юрга'!R45*(1-'КРОВЛЯ Рязань'!$V$5-'КРОВЛЯ Рязань'!V45)+IFERROR(SEARCH("комп",J45)/SEARCH("комп",J45)*'КРОВЛЯ Рязань'!$R$5,'КРОВЛЯ Рязань'!S$5)),"нет")</f>
        <v>6675</v>
      </c>
      <c r="T45" s="101">
        <f t="shared" si="1"/>
        <v>1134.75</v>
      </c>
      <c r="U45" s="1221"/>
      <c r="V45" s="1229"/>
      <c r="W45" s="1221"/>
      <c r="X45" s="1154"/>
      <c r="Y45" s="1155"/>
      <c r="Z45" s="1156"/>
      <c r="AA45" s="1157"/>
      <c r="AB45" s="991"/>
      <c r="AC45" s="1022"/>
      <c r="AD45" s="1024"/>
      <c r="AE45" s="2"/>
      <c r="AF45" s="2"/>
    </row>
    <row r="46" spans="1:32" ht="22.5" hidden="1" customHeight="1" thickBot="1" x14ac:dyDescent="0.3">
      <c r="A46" s="751"/>
      <c r="B46" s="203">
        <v>1200</v>
      </c>
      <c r="C46" s="204">
        <v>600</v>
      </c>
      <c r="D46" s="209">
        <v>180</v>
      </c>
      <c r="E46" s="263">
        <v>71.428571428571431</v>
      </c>
      <c r="F46" s="263">
        <v>11.482216343327455</v>
      </c>
      <c r="G46" s="264" t="s">
        <v>267</v>
      </c>
      <c r="H46" s="604" t="str">
        <f>IF(OR('КРОВЛЯ Рязань'!$T$6="Завод 'ТЕХНО' г.Рязань",'КРОВЛЯ Рязань'!$T$6="Завод 'ТЕХНО' г.Заинск"),'КРОВЛЯ Рязань'!E46,'КРОВЛЯ Юрга'!E46)</f>
        <v>C</v>
      </c>
      <c r="I46" s="592">
        <f>IF(OR('КРОВЛЯ Рязань'!$T$6="Завод 'ТЕХНО' г.Рязань",'КРОВЛЯ Рязань'!$T$6="Завод 'ТЕХНО' г.Заинск"),'КРОВЛЯ Рязань'!I46,'КРОВЛЯ Юрга'!I46)</f>
        <v>74.649599999999992</v>
      </c>
      <c r="J46" s="177">
        <v>223.94879999999998</v>
      </c>
      <c r="K46" s="97">
        <v>2</v>
      </c>
      <c r="L46" s="181">
        <f t="shared" si="2"/>
        <v>1.44</v>
      </c>
      <c r="M46" s="198">
        <f t="shared" si="3"/>
        <v>0.25919999999999999</v>
      </c>
      <c r="N46" s="97">
        <v>24</v>
      </c>
      <c r="O46" s="166">
        <f t="shared" si="4"/>
        <v>6.2207999999999997</v>
      </c>
      <c r="P46" s="231">
        <f t="shared" si="5"/>
        <v>68.428799999999995</v>
      </c>
      <c r="Q46" s="266"/>
      <c r="R46" s="88">
        <f t="shared" si="0"/>
        <v>1730.1599999999999</v>
      </c>
      <c r="S46" s="786">
        <f>IFERROR(IF(OR('КРОВЛЯ Рязань'!$T$6="Завод 'ТЕХНО' г.Рязань",'КРОВЛЯ Рязань'!$T$6="Завод 'ТЕХНО' г.Заинск"),IF('КРОВЛЯ Рязань'!$T$6="Завод 'ТЕХНО' г.Рязань",'КРОВЛЯ Рязань'!R46*(1-'КРОВЛЯ Рязань'!$V$5-'КРОВЛЯ Рязань'!V46)+IFERROR(SEARCH("комп",J46)/SEARCH("комп",J46)*'КРОВЛЯ Рязань'!$R$5,'КРОВЛЯ Рязань'!S$5),'КРОВЛЯ Заинск'!R46*(1-'КРОВЛЯ Рязань'!$V$5-'КРОВЛЯ Рязань'!V46)+IFERROR(SEARCH("комп",J46)/SEARCH("комп",J46)*'КРОВЛЯ Рязань'!$R$5,'КРОВЛЯ Рязань'!S$5)),'КРОВЛЯ Юрга'!R46*(1-'КРОВЛЯ Рязань'!$V$5-'КРОВЛЯ Рязань'!V46)+IFERROR(SEARCH("комп",J46)/SEARCH("комп",J46)*'КРОВЛЯ Рязань'!$R$5,'КРОВЛЯ Рязань'!S$5)),"нет")</f>
        <v>6675</v>
      </c>
      <c r="T46" s="101">
        <f t="shared" si="1"/>
        <v>1201.5</v>
      </c>
      <c r="U46" s="1221"/>
      <c r="V46" s="1229"/>
      <c r="W46" s="1221"/>
      <c r="X46" s="1154"/>
      <c r="Y46" s="1155"/>
      <c r="Z46" s="1156"/>
      <c r="AA46" s="1157"/>
      <c r="AB46" s="991"/>
      <c r="AC46" s="1022"/>
      <c r="AD46" s="1024"/>
      <c r="AE46" s="2"/>
      <c r="AF46" s="2"/>
    </row>
    <row r="47" spans="1:32" ht="22.5" hidden="1" customHeight="1" thickBot="1" x14ac:dyDescent="0.3">
      <c r="A47" s="752"/>
      <c r="B47" s="268">
        <v>1200</v>
      </c>
      <c r="C47" s="269">
        <v>600</v>
      </c>
      <c r="D47" s="270">
        <v>190</v>
      </c>
      <c r="E47" s="272">
        <v>71.428571428571431</v>
      </c>
      <c r="F47" s="272">
        <v>10.877889167362852</v>
      </c>
      <c r="G47" s="273" t="s">
        <v>268</v>
      </c>
      <c r="H47" s="604" t="str">
        <f>IF(OR('КРОВЛЯ Рязань'!$T$6="Завод 'ТЕХНО' г.Рязань",'КРОВЛЯ Рязань'!$T$6="Завод 'ТЕХНО' г.Заинск"),'КРОВЛЯ Рязань'!E47,'КРОВЛЯ Юрга'!E47)</f>
        <v>C</v>
      </c>
      <c r="I47" s="592">
        <f>IF(OR('КРОВЛЯ Рязань'!$T$6="Завод 'ТЕХНО' г.Рязань",'КРОВЛЯ Рязань'!$T$6="Завод 'ТЕХНО' г.Заинск"),'КРОВЛЯ Рязань'!I47,'КРОВЛЯ Юрга'!I47)</f>
        <v>72.230399999999989</v>
      </c>
      <c r="J47" s="177">
        <v>236.39039999999997</v>
      </c>
      <c r="K47" s="274">
        <v>2</v>
      </c>
      <c r="L47" s="181">
        <f t="shared" si="2"/>
        <v>1.44</v>
      </c>
      <c r="M47" s="198">
        <f t="shared" si="3"/>
        <v>0.27359999999999995</v>
      </c>
      <c r="N47" s="97">
        <v>24</v>
      </c>
      <c r="O47" s="166">
        <f t="shared" si="4"/>
        <v>6.5663999999999989</v>
      </c>
      <c r="P47" s="231">
        <f t="shared" si="5"/>
        <v>72.230399999999989</v>
      </c>
      <c r="Q47" s="266"/>
      <c r="R47" s="88">
        <f t="shared" si="0"/>
        <v>1826.2799999999997</v>
      </c>
      <c r="S47" s="786">
        <f>IFERROR(IF(OR('КРОВЛЯ Рязань'!$T$6="Завод 'ТЕХНО' г.Рязань",'КРОВЛЯ Рязань'!$T$6="Завод 'ТЕХНО' г.Заинск"),IF('КРОВЛЯ Рязань'!$T$6="Завод 'ТЕХНО' г.Рязань",'КРОВЛЯ Рязань'!R47*(1-'КРОВЛЯ Рязань'!$V$5-'КРОВЛЯ Рязань'!V47)+IFERROR(SEARCH("комп",J47)/SEARCH("комп",J47)*'КРОВЛЯ Рязань'!$R$5,'КРОВЛЯ Рязань'!S$5),'КРОВЛЯ Заинск'!R47*(1-'КРОВЛЯ Рязань'!$V$5-'КРОВЛЯ Рязань'!V47)+IFERROR(SEARCH("комп",J47)/SEARCH("комп",J47)*'КРОВЛЯ Рязань'!$R$5,'КРОВЛЯ Рязань'!S$5)),'КРОВЛЯ Юрга'!R47*(1-'КРОВЛЯ Рязань'!$V$5-'КРОВЛЯ Рязань'!V47)+IFERROR(SEARCH("комп",J47)/SEARCH("комп",J47)*'КРОВЛЯ Рязань'!$R$5,'КРОВЛЯ Рязань'!S$5)),"нет")</f>
        <v>6675</v>
      </c>
      <c r="T47" s="101">
        <f t="shared" si="1"/>
        <v>1268.25</v>
      </c>
      <c r="U47" s="1221"/>
      <c r="V47" s="1229"/>
      <c r="W47" s="1221"/>
      <c r="X47" s="1154"/>
      <c r="Y47" s="1155"/>
      <c r="Z47" s="1156"/>
      <c r="AA47" s="1157"/>
      <c r="AB47" s="991"/>
      <c r="AC47" s="1022"/>
      <c r="AD47" s="1024"/>
      <c r="AE47" s="2"/>
      <c r="AF47" s="2"/>
    </row>
    <row r="48" spans="1:32" ht="22.5" customHeight="1" thickBot="1" x14ac:dyDescent="0.3">
      <c r="A48" s="35" t="s">
        <v>25</v>
      </c>
      <c r="B48" s="252">
        <v>1200</v>
      </c>
      <c r="C48" s="250">
        <v>600</v>
      </c>
      <c r="D48" s="251">
        <v>40</v>
      </c>
      <c r="E48" s="277"/>
      <c r="F48" s="278"/>
      <c r="G48" s="279" t="s">
        <v>705</v>
      </c>
      <c r="H48" s="604" t="str">
        <f>IF(OR('КРОВЛЯ Рязань'!$T$6="Завод 'ТЕХНО' г.Рязань",'КРОВЛЯ Рязань'!$T$6="Завод 'ТЕХНО' г.Заинск"),'КРОВЛЯ Рязань'!E48,'КРОВЛЯ Юрга'!E48)</f>
        <v>Б</v>
      </c>
      <c r="I48" s="592" t="str">
        <f>IF(OR('КРОВЛЯ Рязань'!$T$6="Завод 'ТЕХНО' г.Рязань",'КРОВЛЯ Рязань'!$T$6="Завод 'ТЕХНО' г.Заинск"),'КРОВЛЯ Рязань'!I48,'КРОВЛЯ Юрга'!I48)</f>
        <v xml:space="preserve"> </v>
      </c>
      <c r="J48" s="280"/>
      <c r="K48" s="281">
        <v>5</v>
      </c>
      <c r="L48" s="166">
        <f t="shared" si="2"/>
        <v>3.6</v>
      </c>
      <c r="M48" s="169">
        <f t="shared" si="3"/>
        <v>0.14399999999999999</v>
      </c>
      <c r="N48" s="97">
        <v>48</v>
      </c>
      <c r="O48" s="166">
        <f t="shared" si="4"/>
        <v>6.911999999999999</v>
      </c>
      <c r="P48" s="231">
        <f t="shared" si="5"/>
        <v>76.031999999999982</v>
      </c>
      <c r="Q48" s="285"/>
      <c r="R48" s="88">
        <f t="shared" si="0"/>
        <v>1219.6799999999998</v>
      </c>
      <c r="S48" s="786">
        <f>IFERROR(IF(OR('КРОВЛЯ Рязань'!$T$6="Завод 'ТЕХНО' г.Рязань",'КРОВЛЯ Рязань'!$T$6="Завод 'ТЕХНО' г.Заинск"),IF('КРОВЛЯ Рязань'!$T$6="Завод 'ТЕХНО' г.Рязань",'КРОВЛЯ Рязань'!R48*(1-'КРОВЛЯ Рязань'!$V$5-'КРОВЛЯ Рязань'!V48)+IFERROR(SEARCH("комп",J48)/SEARCH("комп",J48)*'КРОВЛЯ Рязань'!$R$5,'КРОВЛЯ Рязань'!S$5),'КРОВЛЯ Заинск'!R48*(1-'КРОВЛЯ Рязань'!$V$5-'КРОВЛЯ Рязань'!V48)+IFERROR(SEARCH("комп",J48)/SEARCH("комп",J48)*'КРОВЛЯ Рязань'!$R$5,'КРОВЛЯ Рязань'!S$5)),'КРОВЛЯ Юрга'!R48*(1-'КРОВЛЯ Рязань'!$V$5-'КРОВЛЯ Рязань'!V48)+IFERROR(SEARCH("комп",J48)/SEARCH("комп",J48)*'КРОВЛЯ Рязань'!$R$5,'КРОВЛЯ Рязань'!S$5)),"нет")</f>
        <v>8470</v>
      </c>
      <c r="T48" s="101">
        <f t="shared" si="1"/>
        <v>338.8</v>
      </c>
      <c r="U48" s="1221"/>
      <c r="V48" s="1229"/>
      <c r="W48" s="1221"/>
      <c r="X48" s="1154"/>
      <c r="Y48" s="1155"/>
      <c r="Z48" s="1156"/>
      <c r="AA48" s="1157"/>
      <c r="AB48" s="991"/>
      <c r="AC48" s="1022"/>
      <c r="AD48" s="1024"/>
      <c r="AE48" s="82"/>
      <c r="AF48" s="650"/>
    </row>
    <row r="49" spans="1:32" ht="22.5" customHeight="1" thickBot="1" x14ac:dyDescent="0.3">
      <c r="A49" s="1295" t="s">
        <v>29</v>
      </c>
      <c r="B49" s="203">
        <v>1200</v>
      </c>
      <c r="C49" s="287">
        <v>600</v>
      </c>
      <c r="D49" s="288">
        <v>50</v>
      </c>
      <c r="E49" s="289"/>
      <c r="F49" s="263"/>
      <c r="G49" s="290" t="s">
        <v>704</v>
      </c>
      <c r="H49" s="604" t="str">
        <f>IF(OR('КРОВЛЯ Рязань'!$T$6="Завод 'ТЕХНО' г.Рязань",'КРОВЛЯ Рязань'!$T$6="Завод 'ТЕХНО' г.Заинск"),'КРОВЛЯ Рязань'!E49,'КРОВЛЯ Юрга'!E49)</f>
        <v>Б</v>
      </c>
      <c r="I49" s="592" t="str">
        <f>IF(OR('КРОВЛЯ Рязань'!$T$6="Завод 'ТЕХНО' г.Рязань",'КРОВЛЯ Рязань'!$T$6="Завод 'ТЕХНО' г.Заинск"),'КРОВЛЯ Рязань'!I49,'КРОВЛЯ Юрга'!I49)</f>
        <v xml:space="preserve"> </v>
      </c>
      <c r="J49" s="291"/>
      <c r="K49" s="97">
        <v>4</v>
      </c>
      <c r="L49" s="166">
        <f t="shared" si="2"/>
        <v>2.88</v>
      </c>
      <c r="M49" s="169">
        <f t="shared" si="3"/>
        <v>0.14399999999999999</v>
      </c>
      <c r="N49" s="97">
        <v>48</v>
      </c>
      <c r="O49" s="166">
        <f t="shared" si="4"/>
        <v>6.911999999999999</v>
      </c>
      <c r="P49" s="231">
        <f t="shared" si="5"/>
        <v>76.031999999999982</v>
      </c>
      <c r="Q49" s="266"/>
      <c r="R49" s="88">
        <f t="shared" si="0"/>
        <v>1219.6799999999998</v>
      </c>
      <c r="S49" s="786">
        <f>IFERROR(IF(OR('КРОВЛЯ Рязань'!$T$6="Завод 'ТЕХНО' г.Рязань",'КРОВЛЯ Рязань'!$T$6="Завод 'ТЕХНО' г.Заинск"),IF('КРОВЛЯ Рязань'!$T$6="Завод 'ТЕХНО' г.Рязань",'КРОВЛЯ Рязань'!R49*(1-'КРОВЛЯ Рязань'!$V$5-'КРОВЛЯ Рязань'!V49)+IFERROR(SEARCH("комп",J49)/SEARCH("комп",J49)*'КРОВЛЯ Рязань'!$R$5,'КРОВЛЯ Рязань'!S$5),'КРОВЛЯ Заинск'!R49*(1-'КРОВЛЯ Рязань'!$V$5-'КРОВЛЯ Рязань'!V49)+IFERROR(SEARCH("комп",J49)/SEARCH("комп",J49)*'КРОВЛЯ Рязань'!$R$5,'КРОВЛЯ Рязань'!S$5)),'КРОВЛЯ Юрга'!R49*(1-'КРОВЛЯ Рязань'!$V$5-'КРОВЛЯ Рязань'!V49)+IFERROR(SEARCH("комп",J49)/SEARCH("комп",J49)*'КРОВЛЯ Рязань'!$R$5,'КРОВЛЯ Рязань'!S$5)),"нет")</f>
        <v>8470</v>
      </c>
      <c r="T49" s="101">
        <f t="shared" si="1"/>
        <v>423.5</v>
      </c>
      <c r="U49" s="1221"/>
      <c r="V49" s="1229"/>
      <c r="W49" s="1221"/>
      <c r="X49" s="1154"/>
      <c r="Y49" s="1155"/>
      <c r="Z49" s="1156"/>
      <c r="AA49" s="1157"/>
      <c r="AB49" s="991"/>
      <c r="AC49" s="1022"/>
      <c r="AD49" s="1036"/>
      <c r="AE49" s="82"/>
      <c r="AF49" s="650"/>
    </row>
    <row r="50" spans="1:32" ht="22.5" customHeight="1" thickBot="1" x14ac:dyDescent="0.3">
      <c r="A50" s="1296"/>
      <c r="B50" s="292"/>
      <c r="C50" s="293"/>
      <c r="D50" s="294"/>
      <c r="E50" s="289"/>
      <c r="F50" s="289"/>
      <c r="G50" s="296"/>
      <c r="H50" s="605"/>
      <c r="I50" s="593"/>
      <c r="J50" s="297"/>
      <c r="K50" s="298"/>
      <c r="L50" s="299"/>
      <c r="M50" s="300"/>
      <c r="N50" s="301"/>
      <c r="O50" s="299"/>
      <c r="P50" s="260"/>
      <c r="Q50" s="302"/>
      <c r="R50" s="303"/>
      <c r="S50" s="304"/>
      <c r="T50" s="305"/>
      <c r="U50" s="1195"/>
      <c r="X50" s="1085"/>
      <c r="Y50" s="1085"/>
      <c r="Z50" s="1010"/>
      <c r="AA50" s="1010"/>
      <c r="AB50" s="1010"/>
      <c r="AC50" s="1037"/>
      <c r="AD50" s="1038"/>
      <c r="AE50" s="82"/>
      <c r="AF50" s="649"/>
    </row>
    <row r="51" spans="1:32" ht="20.100000000000001" customHeight="1" x14ac:dyDescent="0.25">
      <c r="A51" s="18"/>
      <c r="B51" s="134"/>
      <c r="C51" s="134"/>
      <c r="D51" s="134"/>
      <c r="E51" s="138"/>
      <c r="F51" s="138"/>
      <c r="G51" s="138"/>
      <c r="H51" s="138"/>
      <c r="I51" s="138"/>
      <c r="J51" s="138"/>
      <c r="K51" s="135"/>
      <c r="L51" s="134"/>
      <c r="M51" s="261"/>
      <c r="N51" s="135"/>
      <c r="O51" s="137"/>
      <c r="P51" s="134"/>
      <c r="Q51" s="261"/>
      <c r="R51" s="134"/>
      <c r="S51" s="134"/>
      <c r="T51" s="134"/>
      <c r="U51" s="1195"/>
      <c r="X51" s="134"/>
      <c r="Y51" s="134"/>
      <c r="Z51" s="134"/>
      <c r="AA51" s="134"/>
      <c r="AB51" s="134"/>
      <c r="AC51" s="1039"/>
    </row>
    <row r="52" spans="1:32" ht="18.75" customHeight="1" x14ac:dyDescent="0.25">
      <c r="A52" s="1" t="s">
        <v>7</v>
      </c>
      <c r="E52" s="2"/>
      <c r="F52" s="2"/>
      <c r="G52" s="2"/>
      <c r="H52" s="2"/>
      <c r="I52" s="2"/>
      <c r="J52" s="2"/>
      <c r="P52" s="1275"/>
      <c r="Q52" s="1275"/>
      <c r="R52" s="1275"/>
      <c r="S52" s="1275"/>
      <c r="T52" s="1275"/>
      <c r="U52" s="1195"/>
      <c r="X52" s="924"/>
      <c r="Y52" s="924"/>
      <c r="Z52" s="1082"/>
      <c r="AA52" s="1082"/>
      <c r="AB52" s="1082"/>
      <c r="AC52" s="1034"/>
      <c r="AD52" s="953"/>
      <c r="AE52" s="2"/>
      <c r="AF52" s="2"/>
    </row>
    <row r="53" spans="1:32" s="32" customFormat="1" ht="20.100000000000001" customHeight="1" x14ac:dyDescent="0.25">
      <c r="A53" s="471" t="s">
        <v>423</v>
      </c>
      <c r="K53" s="33"/>
      <c r="M53" s="34"/>
      <c r="N53" s="33"/>
      <c r="O53" s="59"/>
      <c r="P53" s="1244"/>
      <c r="Q53" s="1244"/>
      <c r="R53" s="1244"/>
      <c r="S53" s="1244"/>
      <c r="T53" s="1244"/>
      <c r="U53" s="33"/>
      <c r="X53" s="920"/>
      <c r="Y53" s="920"/>
      <c r="Z53" s="1080"/>
      <c r="AA53" s="1080"/>
      <c r="AB53" s="1080"/>
      <c r="AC53" s="1027"/>
      <c r="AD53" s="953"/>
    </row>
    <row r="54" spans="1:32" ht="20.100000000000001" customHeight="1" x14ac:dyDescent="0.25">
      <c r="A54" s="26" t="s">
        <v>438</v>
      </c>
      <c r="E54" s="2"/>
      <c r="F54" s="2"/>
      <c r="G54" s="2"/>
      <c r="H54" s="2"/>
      <c r="I54" s="2"/>
      <c r="J54" s="2"/>
      <c r="P54" s="1244"/>
      <c r="Q54" s="1244"/>
      <c r="R54" s="1244"/>
      <c r="S54" s="1244"/>
      <c r="T54" s="1244"/>
      <c r="U54" s="1195"/>
      <c r="X54" s="920"/>
      <c r="Y54" s="920"/>
      <c r="Z54" s="1080"/>
      <c r="AA54" s="1080"/>
      <c r="AB54" s="1080"/>
      <c r="AC54" s="1027"/>
      <c r="AD54" s="953"/>
      <c r="AE54" s="2"/>
      <c r="AF54" s="2"/>
    </row>
    <row r="55" spans="1:32" ht="20.100000000000001" customHeight="1" x14ac:dyDescent="0.25">
      <c r="A55" s="26" t="s">
        <v>24</v>
      </c>
      <c r="E55" s="2"/>
      <c r="F55" s="2"/>
      <c r="G55" s="2"/>
      <c r="H55" s="2"/>
      <c r="I55" s="2"/>
      <c r="J55" s="2"/>
      <c r="P55" s="1245"/>
      <c r="Q55" s="1245"/>
      <c r="R55" s="1245"/>
      <c r="S55" s="1245"/>
      <c r="T55" s="1245"/>
      <c r="U55" s="1195"/>
      <c r="X55" s="921"/>
      <c r="Y55" s="921"/>
      <c r="Z55" s="1081"/>
      <c r="AA55" s="1081"/>
      <c r="AB55" s="1081"/>
      <c r="AC55" s="1028"/>
      <c r="AD55" s="953"/>
      <c r="AE55" s="2"/>
      <c r="AF55" s="2"/>
    </row>
    <row r="56" spans="1:32" ht="20.100000000000001" customHeight="1" x14ac:dyDescent="0.25">
      <c r="A56" s="26" t="s">
        <v>52</v>
      </c>
      <c r="E56" s="2"/>
      <c r="F56" s="2"/>
      <c r="G56" s="2"/>
      <c r="H56" s="2"/>
      <c r="I56" s="2"/>
      <c r="J56" s="2"/>
      <c r="R56" s="1245"/>
      <c r="S56" s="1245"/>
      <c r="T56" s="1245"/>
      <c r="U56" s="1195"/>
      <c r="X56" s="921"/>
      <c r="Y56" s="921"/>
      <c r="Z56" s="1081"/>
      <c r="AA56" s="1081"/>
      <c r="AB56" s="1081"/>
      <c r="AC56" s="1028"/>
      <c r="AD56" s="953"/>
      <c r="AE56" s="2"/>
      <c r="AF56" s="2"/>
    </row>
    <row r="57" spans="1:32" ht="20.100000000000001" customHeight="1" x14ac:dyDescent="0.25">
      <c r="A57" s="30" t="s">
        <v>541</v>
      </c>
      <c r="E57" s="2"/>
      <c r="F57" s="4"/>
      <c r="G57" s="2"/>
      <c r="H57" s="2"/>
      <c r="I57" s="2"/>
      <c r="J57" s="5"/>
      <c r="L57" s="56"/>
      <c r="U57" s="1195"/>
      <c r="AD57" s="953"/>
      <c r="AE57" s="2"/>
      <c r="AF57" s="2"/>
    </row>
    <row r="58" spans="1:32" ht="20.100000000000001" customHeight="1" x14ac:dyDescent="0.25">
      <c r="A58" s="30" t="str">
        <f>'Лайт+АКУСТИК DDP'!A78</f>
        <v>Б - отгрузка в течение 3 дней (заявки принимаются в любом количестве, кратно пачке).</v>
      </c>
      <c r="E58" s="2"/>
      <c r="F58" s="4"/>
      <c r="G58" s="2"/>
      <c r="H58" s="2"/>
      <c r="I58" s="2"/>
      <c r="J58" s="5"/>
      <c r="L58" s="56"/>
      <c r="U58" s="1195"/>
      <c r="AD58" s="953"/>
      <c r="AE58" s="2"/>
      <c r="AF58" s="2"/>
    </row>
    <row r="59" spans="1:32" ht="20.100000000000001" customHeight="1" x14ac:dyDescent="0.25">
      <c r="A59" s="30" t="str">
        <f>'Лайт+АКУСТИК DDP'!A79</f>
        <v>Категория "С" - это товары "под заказ", и сроки индивидуально оговариваются с клиентом (заявки принимаются в объеме не менее 10 тонн, кратно поддону)</v>
      </c>
      <c r="E59" s="2"/>
      <c r="F59" s="4"/>
      <c r="G59" s="2"/>
      <c r="H59" s="2"/>
      <c r="I59" s="2"/>
      <c r="J59" s="5"/>
      <c r="L59" s="56"/>
      <c r="U59" s="1195"/>
      <c r="AD59" s="953"/>
      <c r="AE59" s="2"/>
      <c r="AF59" s="2"/>
    </row>
    <row r="60" spans="1:32" ht="20.100000000000001" customHeight="1" x14ac:dyDescent="0.25">
      <c r="A60" s="31"/>
      <c r="E60" s="2"/>
      <c r="F60" s="2"/>
      <c r="G60" s="2"/>
      <c r="H60" s="2"/>
      <c r="I60" s="2"/>
      <c r="J60" s="2"/>
      <c r="U60" s="1195"/>
      <c r="AD60" s="953"/>
      <c r="AE60" s="2"/>
      <c r="AF60" s="2"/>
    </row>
    <row r="61" spans="1:32" ht="20.100000000000001" customHeight="1" x14ac:dyDescent="0.25">
      <c r="E61" s="2"/>
      <c r="F61" s="2"/>
      <c r="G61" s="2"/>
      <c r="H61" s="2"/>
      <c r="I61" s="2"/>
      <c r="J61" s="2"/>
      <c r="U61" s="1195"/>
      <c r="AD61" s="953"/>
      <c r="AE61" s="2"/>
      <c r="AF61" s="2"/>
    </row>
    <row r="62" spans="1:32" ht="19.5" customHeight="1" x14ac:dyDescent="0.25">
      <c r="A62" s="2"/>
      <c r="E62" s="2"/>
      <c r="F62" s="2"/>
      <c r="G62" s="2"/>
      <c r="H62" s="2"/>
      <c r="I62" s="2"/>
      <c r="J62" s="2"/>
      <c r="U62" s="1195"/>
      <c r="AD62" s="953"/>
      <c r="AE62" s="2"/>
      <c r="AF62" s="2"/>
    </row>
    <row r="63" spans="1:32" ht="20.100000000000001" customHeight="1" x14ac:dyDescent="0.25">
      <c r="A63" s="2"/>
      <c r="E63" s="2"/>
      <c r="F63" s="2"/>
      <c r="G63" s="2"/>
      <c r="H63" s="2"/>
      <c r="I63" s="2"/>
      <c r="J63" s="2"/>
      <c r="U63" s="1195"/>
      <c r="AD63" s="953"/>
      <c r="AE63" s="2"/>
      <c r="AF63" s="2"/>
    </row>
    <row r="64" spans="1:32" ht="20.100000000000001" customHeight="1" x14ac:dyDescent="0.25">
      <c r="A64" s="2"/>
      <c r="C64" s="19"/>
      <c r="D64" s="20"/>
      <c r="E64" s="20"/>
      <c r="F64" s="20"/>
      <c r="G64" s="20"/>
      <c r="H64" s="20"/>
      <c r="I64" s="20"/>
      <c r="J64" s="20"/>
      <c r="K64" s="21"/>
      <c r="L64" s="20"/>
      <c r="M64" s="22"/>
      <c r="N64" s="69"/>
      <c r="O64" s="60"/>
      <c r="P64" s="20"/>
      <c r="Q64" s="22"/>
      <c r="R64" s="22"/>
      <c r="S64" s="22"/>
      <c r="T64" s="22"/>
      <c r="U64" s="1195"/>
      <c r="X64" s="22"/>
      <c r="Y64" s="22"/>
      <c r="Z64" s="22"/>
      <c r="AA64" s="22"/>
      <c r="AB64" s="22"/>
      <c r="AC64" s="1030"/>
      <c r="AD64" s="953"/>
      <c r="AE64" s="2"/>
      <c r="AF64" s="2"/>
    </row>
    <row r="65" spans="2:32" ht="20.100000000000001" customHeight="1" x14ac:dyDescent="0.25">
      <c r="C65" s="23"/>
      <c r="D65" s="20"/>
      <c r="E65" s="20"/>
      <c r="F65" s="20"/>
      <c r="G65" s="20"/>
      <c r="H65" s="20"/>
      <c r="I65" s="20"/>
      <c r="J65" s="20"/>
      <c r="K65" s="21"/>
      <c r="L65" s="20"/>
      <c r="M65" s="24"/>
      <c r="N65" s="70"/>
      <c r="O65" s="60"/>
      <c r="P65" s="20"/>
      <c r="Q65" s="24"/>
      <c r="R65" s="24"/>
      <c r="S65" s="24"/>
      <c r="T65" s="24"/>
      <c r="U65" s="1195"/>
      <c r="X65" s="24"/>
      <c r="Y65" s="24"/>
      <c r="Z65" s="24"/>
      <c r="AA65" s="24"/>
      <c r="AB65" s="24"/>
      <c r="AC65" s="1031"/>
      <c r="AD65" s="953"/>
      <c r="AE65" s="2"/>
      <c r="AF65" s="2"/>
    </row>
    <row r="66" spans="2:32" ht="20.100000000000001" customHeight="1" x14ac:dyDescent="0.25">
      <c r="C66" s="23"/>
      <c r="D66" s="20"/>
      <c r="E66" s="20"/>
      <c r="F66" s="20"/>
      <c r="G66" s="20"/>
      <c r="H66" s="20"/>
      <c r="I66" s="20"/>
      <c r="J66" s="20"/>
      <c r="K66" s="21"/>
      <c r="L66" s="20"/>
      <c r="M66" s="24"/>
      <c r="N66" s="70"/>
      <c r="O66" s="60"/>
      <c r="P66" s="20"/>
      <c r="Q66" s="24"/>
      <c r="R66" s="24"/>
      <c r="S66" s="24"/>
      <c r="T66" s="24"/>
      <c r="U66" s="1195"/>
      <c r="X66" s="24"/>
      <c r="Y66" s="24"/>
      <c r="Z66" s="24"/>
      <c r="AA66" s="24"/>
      <c r="AB66" s="24"/>
      <c r="AC66" s="1031"/>
      <c r="AD66" s="953"/>
      <c r="AE66" s="2"/>
      <c r="AF66" s="2"/>
    </row>
    <row r="67" spans="2:32" x14ac:dyDescent="0.25">
      <c r="U67" s="1195"/>
    </row>
    <row r="68" spans="2:32" x14ac:dyDescent="0.25">
      <c r="B68" s="25"/>
      <c r="U68" s="1195"/>
    </row>
    <row r="69" spans="2:32" x14ac:dyDescent="0.25">
      <c r="U69" s="1195"/>
    </row>
    <row r="70" spans="2:32" x14ac:dyDescent="0.25">
      <c r="U70" s="1195"/>
    </row>
    <row r="71" spans="2:32" x14ac:dyDescent="0.25">
      <c r="U71" s="1195"/>
    </row>
    <row r="72" spans="2:32" x14ac:dyDescent="0.25">
      <c r="U72" s="1195"/>
    </row>
    <row r="73" spans="2:32" x14ac:dyDescent="0.25">
      <c r="U73" s="1195"/>
    </row>
    <row r="74" spans="2:32" x14ac:dyDescent="0.25">
      <c r="U74" s="1195"/>
    </row>
    <row r="75" spans="2:32" x14ac:dyDescent="0.25">
      <c r="U75" s="1195"/>
    </row>
    <row r="76" spans="2:32" x14ac:dyDescent="0.25">
      <c r="U76" s="1195"/>
    </row>
    <row r="77" spans="2:32" x14ac:dyDescent="0.25">
      <c r="U77" s="1195"/>
    </row>
    <row r="78" spans="2:32" x14ac:dyDescent="0.25">
      <c r="U78" s="1195"/>
    </row>
    <row r="79" spans="2:32" x14ac:dyDescent="0.25">
      <c r="U79" s="1195"/>
    </row>
    <row r="80" spans="2:32" x14ac:dyDescent="0.25">
      <c r="U80" s="1195"/>
    </row>
    <row r="81" spans="21:21" x14ac:dyDescent="0.25">
      <c r="U81" s="1195"/>
    </row>
    <row r="82" spans="21:21" x14ac:dyDescent="0.25">
      <c r="U82" s="1195"/>
    </row>
    <row r="83" spans="21:21" x14ac:dyDescent="0.25">
      <c r="U83" s="1195"/>
    </row>
    <row r="84" spans="21:21" x14ac:dyDescent="0.25">
      <c r="U84" s="1195"/>
    </row>
    <row r="85" spans="21:21" x14ac:dyDescent="0.25">
      <c r="U85" s="1195"/>
    </row>
    <row r="86" spans="21:21" x14ac:dyDescent="0.25">
      <c r="U86" s="1195"/>
    </row>
    <row r="87" spans="21:21" x14ac:dyDescent="0.25">
      <c r="U87" s="1195"/>
    </row>
    <row r="88" spans="21:21" x14ac:dyDescent="0.25">
      <c r="U88" s="1195"/>
    </row>
    <row r="89" spans="21:21" x14ac:dyDescent="0.25">
      <c r="U89" s="1195"/>
    </row>
    <row r="90" spans="21:21" x14ac:dyDescent="0.25">
      <c r="U90" s="1195"/>
    </row>
    <row r="91" spans="21:21" x14ac:dyDescent="0.25">
      <c r="U91" s="1195"/>
    </row>
    <row r="92" spans="21:21" x14ac:dyDescent="0.25">
      <c r="U92" s="1195"/>
    </row>
    <row r="93" spans="21:21" x14ac:dyDescent="0.25">
      <c r="U93" s="1195"/>
    </row>
  </sheetData>
  <mergeCells count="22">
    <mergeCell ref="B3:N3"/>
    <mergeCell ref="R56:T56"/>
    <mergeCell ref="P52:T52"/>
    <mergeCell ref="P53:T53"/>
    <mergeCell ref="P54:T54"/>
    <mergeCell ref="P55:T55"/>
    <mergeCell ref="E6:E7"/>
    <mergeCell ref="G6:G7"/>
    <mergeCell ref="R6:T6"/>
    <mergeCell ref="P6:Q6"/>
    <mergeCell ref="H6:H7"/>
    <mergeCell ref="J6:J7"/>
    <mergeCell ref="K6:M6"/>
    <mergeCell ref="N6:O6"/>
    <mergeCell ref="I6:I7"/>
    <mergeCell ref="A49:A50"/>
    <mergeCell ref="A6:A7"/>
    <mergeCell ref="B6:B7"/>
    <mergeCell ref="C6:C7"/>
    <mergeCell ref="D6:D7"/>
    <mergeCell ref="A9:A21"/>
    <mergeCell ref="A23:A32"/>
  </mergeCells>
  <phoneticPr fontId="65" type="noConversion"/>
  <printOptions horizontalCentered="1"/>
  <pageMargins left="0.19685039370078741" right="0.19685039370078741" top="0.39370078740157483" bottom="0" header="0" footer="0"/>
  <pageSetup paperSize="9" scale="43" orientation="portrait" verticalDpi="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64" r:id="rId4" name="Drop Down 4">
              <controlPr defaultSize="0" autoLine="0" autoPict="0">
                <anchor moveWithCells="1">
                  <from>
                    <xdr:col>14</xdr:col>
                    <xdr:colOff>247650</xdr:colOff>
                    <xdr:row>1</xdr:row>
                    <xdr:rowOff>142875</xdr:rowOff>
                  </from>
                  <to>
                    <xdr:col>17</xdr:col>
                    <xdr:colOff>704850</xdr:colOff>
                    <xdr:row>2</xdr:row>
                    <xdr:rowOff>180975</xdr:rowOff>
                  </to>
                </anchor>
              </controlPr>
            </control>
          </mc:Choice>
        </mc:AlternateContent>
        <mc:AlternateContent xmlns:mc="http://schemas.openxmlformats.org/markup-compatibility/2006">
          <mc:Choice Requires="x14">
            <control shapeId="40966" r:id="rId5" name="Drop Down 6">
              <controlPr defaultSize="0" autoLine="0" autoPict="0">
                <anchor moveWithCells="1">
                  <from>
                    <xdr:col>14</xdr:col>
                    <xdr:colOff>238125</xdr:colOff>
                    <xdr:row>2</xdr:row>
                    <xdr:rowOff>400050</xdr:rowOff>
                  </from>
                  <to>
                    <xdr:col>15</xdr:col>
                    <xdr:colOff>666750</xdr:colOff>
                    <xdr:row>2</xdr:row>
                    <xdr:rowOff>742950</xdr:rowOff>
                  </to>
                </anchor>
              </controlPr>
            </control>
          </mc:Choice>
        </mc:AlternateContent>
        <mc:AlternateContent xmlns:mc="http://schemas.openxmlformats.org/markup-compatibility/2006">
          <mc:Choice Requires="x14">
            <control shapeId="40967" r:id="rId6" name="Drop Down 7">
              <controlPr defaultSize="0" autoLine="0" autoPict="0">
                <anchor moveWithCells="1">
                  <from>
                    <xdr:col>16</xdr:col>
                    <xdr:colOff>390525</xdr:colOff>
                    <xdr:row>2</xdr:row>
                    <xdr:rowOff>409575</xdr:rowOff>
                  </from>
                  <to>
                    <xdr:col>17</xdr:col>
                    <xdr:colOff>695325</xdr:colOff>
                    <xdr:row>2</xdr:row>
                    <xdr:rowOff>762000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4">
    <tabColor rgb="FFFF0000"/>
  </sheetPr>
  <dimension ref="A1:Z71"/>
  <sheetViews>
    <sheetView showGridLines="0" view="pageBreakPreview" zoomScale="70" zoomScaleNormal="100" zoomScaleSheetLayoutView="70" workbookViewId="0">
      <pane xSplit="1" ySplit="7" topLeftCell="B8" activePane="bottomRight" state="frozen"/>
      <selection sqref="A1:IV65536"/>
      <selection pane="topRight" sqref="A1:IV65536"/>
      <selection pane="bottomLeft" sqref="A1:IV65536"/>
      <selection pane="bottomRight" activeCell="A6" sqref="A6:A7"/>
    </sheetView>
  </sheetViews>
  <sheetFormatPr defaultColWidth="11.42578125" defaultRowHeight="18" x14ac:dyDescent="0.25"/>
  <cols>
    <col min="1" max="1" width="43" style="3" customWidth="1"/>
    <col min="2" max="3" width="9.7109375" style="2" customWidth="1"/>
    <col min="4" max="4" width="9.85546875" style="2" customWidth="1"/>
    <col min="5" max="6" width="9" style="71" hidden="1" customWidth="1"/>
    <col min="7" max="7" width="19.42578125" style="71" customWidth="1"/>
    <col min="8" max="8" width="7.42578125" style="71" customWidth="1"/>
    <col min="9" max="9" width="12.5703125" style="71" customWidth="1"/>
    <col min="10" max="10" width="9" style="71" hidden="1" customWidth="1"/>
    <col min="11" max="11" width="11.5703125" style="4" customWidth="1"/>
    <col min="12" max="12" width="11.5703125" style="2" customWidth="1"/>
    <col min="13" max="13" width="11.5703125" style="5" customWidth="1"/>
    <col min="14" max="14" width="11.5703125" style="4" customWidth="1"/>
    <col min="15" max="15" width="11.5703125" style="56" customWidth="1"/>
    <col min="16" max="16" width="12.7109375" style="2" customWidth="1"/>
    <col min="17" max="17" width="11.5703125" style="5" customWidth="1"/>
    <col min="18" max="19" width="15.140625" style="2" customWidth="1"/>
    <col min="20" max="20" width="17.5703125" style="2" customWidth="1"/>
    <col min="21" max="21" width="34.7109375" style="2" hidden="1" customWidth="1"/>
    <col min="22" max="22" width="11.42578125" style="82" hidden="1" customWidth="1"/>
    <col min="23" max="23" width="26.5703125" style="2" hidden="1" customWidth="1"/>
    <col min="24" max="24" width="9.7109375" style="86" customWidth="1"/>
    <col min="25" max="25" width="11.42578125" style="79" customWidth="1"/>
    <col min="26" max="26" width="9.140625" customWidth="1"/>
    <col min="27" max="16384" width="11.42578125" style="2"/>
  </cols>
  <sheetData>
    <row r="1" spans="1:26" ht="26.25" x14ac:dyDescent="0.4">
      <c r="A1" s="560" t="s">
        <v>19</v>
      </c>
      <c r="B1" s="555"/>
      <c r="C1" s="555"/>
      <c r="D1" s="555"/>
      <c r="E1" s="561"/>
      <c r="F1" s="561"/>
      <c r="G1" s="561"/>
      <c r="H1" s="561"/>
      <c r="I1" s="561"/>
      <c r="J1" s="561"/>
      <c r="K1" s="562"/>
      <c r="L1" s="555"/>
      <c r="M1" s="556"/>
      <c r="N1" s="562"/>
      <c r="O1" s="554"/>
      <c r="P1" s="555"/>
      <c r="Q1" s="556"/>
      <c r="R1" s="555"/>
      <c r="S1" s="555"/>
      <c r="T1" s="555"/>
      <c r="W1" s="82" t="s">
        <v>413</v>
      </c>
    </row>
    <row r="2" spans="1:26" s="27" customFormat="1" ht="26.25" x14ac:dyDescent="0.4">
      <c r="A2" s="560" t="s">
        <v>20</v>
      </c>
      <c r="B2" s="558"/>
      <c r="C2" s="558"/>
      <c r="D2" s="558"/>
      <c r="E2" s="563"/>
      <c r="F2" s="563"/>
      <c r="G2" s="563"/>
      <c r="H2" s="563"/>
      <c r="I2" s="563"/>
      <c r="J2" s="563"/>
      <c r="K2" s="564"/>
      <c r="L2" s="558"/>
      <c r="M2" s="559"/>
      <c r="N2" s="564"/>
      <c r="O2" s="557"/>
      <c r="P2" s="558"/>
      <c r="Q2" s="559"/>
      <c r="R2" s="558"/>
      <c r="S2" s="558"/>
      <c r="T2" s="558"/>
      <c r="V2" s="27" t="s">
        <v>415</v>
      </c>
      <c r="W2" s="537">
        <v>4</v>
      </c>
      <c r="X2" s="82"/>
      <c r="Y2" s="2"/>
    </row>
    <row r="3" spans="1:26" s="27" customFormat="1" ht="60" customHeight="1" x14ac:dyDescent="0.35">
      <c r="A3" s="565" t="str">
        <f>INDEX('Доставка по областям'!$A$2:$A$90,'ЛАЙТ Рязань'!Q5)</f>
        <v>Рязанская область</v>
      </c>
      <c r="B3" s="558"/>
      <c r="C3" s="558"/>
      <c r="D3" s="558"/>
      <c r="E3" s="558"/>
      <c r="F3" s="558"/>
      <c r="G3" s="558"/>
      <c r="H3" s="558"/>
      <c r="I3" s="558"/>
      <c r="J3" s="558"/>
      <c r="K3" s="564"/>
      <c r="L3" s="558"/>
      <c r="M3" s="559"/>
      <c r="N3" s="564"/>
      <c r="O3" s="557"/>
      <c r="P3" s="558"/>
      <c r="Q3" s="559"/>
      <c r="R3" s="558"/>
      <c r="S3" s="558"/>
      <c r="T3" s="558"/>
      <c r="V3" s="27" t="s">
        <v>416</v>
      </c>
      <c r="W3" s="567">
        <v>5</v>
      </c>
      <c r="X3" s="83"/>
    </row>
    <row r="4" spans="1:26" ht="18.75" thickBot="1" x14ac:dyDescent="0.3">
      <c r="A4" s="1374">
        <f>'Лайт+АКУСТИК DDP'!A4</f>
        <v>0</v>
      </c>
      <c r="B4" s="1375"/>
      <c r="C4" s="1375"/>
      <c r="D4" s="1375"/>
      <c r="E4" s="1375"/>
      <c r="F4" s="1375"/>
      <c r="G4" s="1375"/>
      <c r="H4" s="1375"/>
      <c r="I4" s="1375"/>
      <c r="J4" s="1375"/>
      <c r="K4" s="1375"/>
      <c r="L4" s="1375"/>
      <c r="M4" s="1375"/>
      <c r="N4" s="1375"/>
      <c r="O4" s="1375"/>
      <c r="P4" s="1375"/>
      <c r="Q4" s="1375"/>
      <c r="R4" s="1375"/>
      <c r="S4" s="1375"/>
      <c r="T4" s="1375"/>
      <c r="U4" s="7"/>
      <c r="V4" s="550"/>
      <c r="X4" s="82"/>
      <c r="Y4" s="2"/>
      <c r="Z4" s="2"/>
    </row>
    <row r="5" spans="1:26" ht="18.75" hidden="1" thickBot="1" x14ac:dyDescent="0.3">
      <c r="A5" s="537"/>
      <c r="B5" s="538"/>
      <c r="C5" s="538"/>
      <c r="D5" s="538"/>
      <c r="E5" s="538"/>
      <c r="F5" s="538"/>
      <c r="G5" s="538"/>
      <c r="H5" s="538"/>
      <c r="I5" s="538"/>
      <c r="J5" s="538"/>
      <c r="K5" s="538"/>
      <c r="L5" s="538"/>
      <c r="M5" s="538"/>
      <c r="N5" s="539"/>
      <c r="O5" s="540"/>
      <c r="P5" s="538"/>
      <c r="Q5" s="538"/>
      <c r="R5" s="538"/>
      <c r="S5" s="552">
        <f>INDEX('Доставка по областям'!$C$2:$D$90,'ЛАЙТ Рязань'!$Q$5,1)</f>
        <v>40</v>
      </c>
      <c r="T5" s="552">
        <f>INDEX('Доставка по областям'!$C$2:$D$90,'ЛАЙТ Рязань'!$Q$5,2)</f>
        <v>64</v>
      </c>
      <c r="U5" s="7"/>
      <c r="V5" s="3" t="s">
        <v>412</v>
      </c>
      <c r="W5" s="568" t="e">
        <f>INDEX('Доставка по областям'!$J$54:$J$57,W2)+INDEX('Доставка по областям'!$J$58:$J$59,$W$3)</f>
        <v>#REF!</v>
      </c>
      <c r="X5" s="82"/>
      <c r="Y5" s="2"/>
      <c r="Z5" s="2"/>
    </row>
    <row r="6" spans="1:26" ht="72.75" customHeight="1" thickBot="1" x14ac:dyDescent="0.3">
      <c r="A6" s="1250" t="s">
        <v>0</v>
      </c>
      <c r="B6" s="1252" t="s">
        <v>1</v>
      </c>
      <c r="C6" s="1254" t="s">
        <v>2</v>
      </c>
      <c r="D6" s="1256" t="s">
        <v>3</v>
      </c>
      <c r="E6" s="1260" t="s">
        <v>56</v>
      </c>
      <c r="F6" s="109"/>
      <c r="G6" s="1260" t="s">
        <v>133</v>
      </c>
      <c r="H6" s="1260" t="s">
        <v>36</v>
      </c>
      <c r="I6" s="1260" t="s">
        <v>56</v>
      </c>
      <c r="J6" s="1260" t="s">
        <v>56</v>
      </c>
      <c r="K6" s="1276" t="s">
        <v>49</v>
      </c>
      <c r="L6" s="1277"/>
      <c r="M6" s="1278"/>
      <c r="N6" s="1273" t="s">
        <v>48</v>
      </c>
      <c r="O6" s="1274"/>
      <c r="P6" s="1265" t="s">
        <v>44</v>
      </c>
      <c r="Q6" s="1266"/>
      <c r="R6" s="1264" t="s">
        <v>421</v>
      </c>
      <c r="S6" s="1265"/>
      <c r="T6" s="1266"/>
      <c r="W6" s="2" t="s">
        <v>414</v>
      </c>
      <c r="X6" s="85"/>
      <c r="Y6"/>
    </row>
    <row r="7" spans="1:26" ht="38.25" customHeight="1" thickBot="1" x14ac:dyDescent="0.3">
      <c r="A7" s="1251"/>
      <c r="B7" s="1253"/>
      <c r="C7" s="1255"/>
      <c r="D7" s="1257"/>
      <c r="E7" s="1262"/>
      <c r="F7" s="110"/>
      <c r="G7" s="1263"/>
      <c r="H7" s="1300"/>
      <c r="I7" s="1263"/>
      <c r="J7" s="1263"/>
      <c r="K7" s="472" t="s">
        <v>5</v>
      </c>
      <c r="L7" s="473" t="s">
        <v>17</v>
      </c>
      <c r="M7" s="478" t="s">
        <v>18</v>
      </c>
      <c r="N7" s="475" t="s">
        <v>47</v>
      </c>
      <c r="O7" s="476" t="s">
        <v>18</v>
      </c>
      <c r="P7" s="482" t="s">
        <v>43</v>
      </c>
      <c r="Q7" s="476" t="s">
        <v>42</v>
      </c>
      <c r="R7" s="458" t="s">
        <v>6</v>
      </c>
      <c r="S7" s="54" t="s">
        <v>18</v>
      </c>
      <c r="T7" s="41" t="s">
        <v>22</v>
      </c>
      <c r="W7" s="551" t="str">
        <f>INDEX('Доставка по областям'!J2:J23,VLOOKUP(A3,'Доставка по областям'!$A$2:$F$90,6,0))</f>
        <v>Рязанская</v>
      </c>
      <c r="X7" s="82"/>
      <c r="Y7" s="2"/>
    </row>
    <row r="8" spans="1:26" ht="24.95" customHeight="1" x14ac:dyDescent="0.25">
      <c r="A8" s="35" t="s">
        <v>33</v>
      </c>
      <c r="B8" s="9">
        <v>1200</v>
      </c>
      <c r="C8" s="10">
        <v>600</v>
      </c>
      <c r="D8" s="11">
        <v>80</v>
      </c>
      <c r="E8" s="112">
        <v>161.29032258064515</v>
      </c>
      <c r="F8" s="112">
        <v>23.33482676224612</v>
      </c>
      <c r="G8" s="211" t="s">
        <v>199</v>
      </c>
      <c r="H8" s="606" t="s">
        <v>46</v>
      </c>
      <c r="I8" s="596">
        <v>165.88799999999998</v>
      </c>
      <c r="J8" s="197">
        <v>497.66399999999993</v>
      </c>
      <c r="K8" s="453">
        <v>5</v>
      </c>
      <c r="L8" s="185">
        <v>3.6</v>
      </c>
      <c r="M8" s="188">
        <v>0.28799999999999998</v>
      </c>
      <c r="N8" s="45">
        <v>24</v>
      </c>
      <c r="O8" s="180">
        <v>6.911999999999999</v>
      </c>
      <c r="P8" s="201">
        <v>76.031999999999982</v>
      </c>
      <c r="Q8" s="46"/>
      <c r="R8" s="88" t="e">
        <f>M8*S8</f>
        <v>#REF!</v>
      </c>
      <c r="S8" s="99" t="e">
        <f>ДВОЙНОЙ!R8*(1-$W$5-W8)+IFERROR(SEARCH("комп",ДвойнойDDP!J8)/SEARCH("комп",ДвойнойDDP!J8)*ДвойнойDDP!$S$5,ДвойнойDDP!$T$5)</f>
        <v>#REF!</v>
      </c>
      <c r="T8" s="101" t="e">
        <f t="shared" ref="T8:T46" si="0">S8*D8/1000</f>
        <v>#REF!</v>
      </c>
      <c r="U8" s="2" t="s">
        <v>426</v>
      </c>
      <c r="W8" s="82">
        <f>SUMIFS(РегСкидка!$C$3:$C$619,РегСкидка!$D$3:$D$619,"Рязань",РегСкидка!$B$3:$B$619,U8,РегСкидка!$E$3:$E$619,$W$7)/100*IF($W$3=5,1,0)</f>
        <v>0</v>
      </c>
      <c r="X8" s="82"/>
      <c r="Y8" s="2"/>
      <c r="Z8" s="2"/>
    </row>
    <row r="9" spans="1:26" ht="24.95" customHeight="1" x14ac:dyDescent="0.25">
      <c r="A9" s="1246" t="s">
        <v>27</v>
      </c>
      <c r="B9" s="12">
        <v>1200</v>
      </c>
      <c r="C9" s="13">
        <v>600</v>
      </c>
      <c r="D9" s="14">
        <v>90</v>
      </c>
      <c r="E9" s="112">
        <v>166.66666666666666</v>
      </c>
      <c r="F9" s="112">
        <v>26.791838134430726</v>
      </c>
      <c r="G9" s="211" t="s">
        <v>269</v>
      </c>
      <c r="H9" s="607" t="s">
        <v>46</v>
      </c>
      <c r="I9" s="596">
        <v>174.1824</v>
      </c>
      <c r="J9" s="197">
        <v>447.89759999999995</v>
      </c>
      <c r="K9" s="47">
        <v>4</v>
      </c>
      <c r="L9" s="181">
        <v>2.88</v>
      </c>
      <c r="M9" s="198">
        <v>0.25919999999999999</v>
      </c>
      <c r="N9" s="47">
        <v>24</v>
      </c>
      <c r="O9" s="182">
        <v>6.2207999999999997</v>
      </c>
      <c r="P9" s="192">
        <v>68.428799999999995</v>
      </c>
      <c r="Q9" s="48"/>
      <c r="R9" s="88" t="e">
        <f t="shared" ref="R9:R46" si="1">M9*S9</f>
        <v>#REF!</v>
      </c>
      <c r="S9" s="99" t="e">
        <f>ДВОЙНОЙ!R9*(1-$W$5-W9)+IFERROR(SEARCH("комп",ДвойнойDDP!J9)/SEARCH("комп",ДвойнойDDP!J9)*ДвойнойDDP!$S$5,ДвойнойDDP!$T$5)</f>
        <v>#REF!</v>
      </c>
      <c r="T9" s="101" t="e">
        <f t="shared" si="0"/>
        <v>#REF!</v>
      </c>
      <c r="U9" s="2" t="s">
        <v>426</v>
      </c>
      <c r="W9" s="82">
        <f>SUMIFS(РегСкидка!$C$3:$C$619,РегСкидка!$D$3:$D$619,"Рязань",РегСкидка!$B$3:$B$619,U9,РегСкидка!$E$3:$E$619,$W$7)/100*IF($W$3=5,1,0)</f>
        <v>0</v>
      </c>
      <c r="X9" s="82"/>
      <c r="Y9" s="2"/>
      <c r="Z9" s="2"/>
    </row>
    <row r="10" spans="1:26" ht="24.95" customHeight="1" x14ac:dyDescent="0.25">
      <c r="A10" s="1246"/>
      <c r="B10" s="12">
        <v>1200</v>
      </c>
      <c r="C10" s="13">
        <v>600</v>
      </c>
      <c r="D10" s="14">
        <v>100</v>
      </c>
      <c r="E10" s="112"/>
      <c r="F10" s="112">
        <v>0</v>
      </c>
      <c r="G10" s="211" t="s">
        <v>200</v>
      </c>
      <c r="H10" s="607" t="s">
        <v>46</v>
      </c>
      <c r="I10" s="596">
        <v>172.79999999999998</v>
      </c>
      <c r="J10" s="197">
        <v>497.66399999999993</v>
      </c>
      <c r="K10" s="47">
        <v>4</v>
      </c>
      <c r="L10" s="181">
        <v>2.88</v>
      </c>
      <c r="M10" s="198">
        <v>0.28799999999999998</v>
      </c>
      <c r="N10" s="47">
        <v>24</v>
      </c>
      <c r="O10" s="182">
        <v>6.911999999999999</v>
      </c>
      <c r="P10" s="192">
        <v>76.031999999999982</v>
      </c>
      <c r="Q10" s="48"/>
      <c r="R10" s="88" t="e">
        <f t="shared" si="1"/>
        <v>#REF!</v>
      </c>
      <c r="S10" s="99" t="e">
        <f>ДВОЙНОЙ!R10*(1-$W$5-W10)+IFERROR(SEARCH("комп",ДвойнойDDP!J10)/SEARCH("комп",ДвойнойDDP!J10)*ДвойнойDDP!$S$5,ДвойнойDDP!$T$5)</f>
        <v>#REF!</v>
      </c>
      <c r="T10" s="101" t="e">
        <f t="shared" si="0"/>
        <v>#REF!</v>
      </c>
      <c r="U10" s="2" t="s">
        <v>426</v>
      </c>
      <c r="W10" s="82">
        <f>SUMIFS(РегСкидка!$C$3:$C$619,РегСкидка!$D$3:$D$619,"Рязань",РегСкидка!$B$3:$B$619,U10,РегСкидка!$E$3:$E$619,$W$7)/100*IF($W$3=5,1,0)</f>
        <v>0</v>
      </c>
      <c r="X10" s="82"/>
      <c r="Y10" s="2"/>
      <c r="Z10" s="2"/>
    </row>
    <row r="11" spans="1:26" ht="24.95" customHeight="1" x14ac:dyDescent="0.25">
      <c r="A11" s="1246"/>
      <c r="B11" s="12">
        <v>1200</v>
      </c>
      <c r="C11" s="13">
        <v>600</v>
      </c>
      <c r="D11" s="14">
        <v>110</v>
      </c>
      <c r="E11" s="112">
        <v>175.43859649122808</v>
      </c>
      <c r="F11" s="112">
        <v>26.370640405728128</v>
      </c>
      <c r="G11" s="211" t="s">
        <v>201</v>
      </c>
      <c r="H11" s="607" t="s">
        <v>46</v>
      </c>
      <c r="I11" s="596">
        <v>179.62559999999999</v>
      </c>
      <c r="J11" s="197">
        <v>479.00160000000005</v>
      </c>
      <c r="K11" s="47">
        <v>3</v>
      </c>
      <c r="L11" s="181">
        <v>2.16</v>
      </c>
      <c r="M11" s="198">
        <v>0.23760000000000001</v>
      </c>
      <c r="N11" s="47">
        <v>28</v>
      </c>
      <c r="O11" s="182">
        <v>6.6528</v>
      </c>
      <c r="P11" s="192">
        <v>73.180800000000005</v>
      </c>
      <c r="Q11" s="48"/>
      <c r="R11" s="88" t="e">
        <f t="shared" si="1"/>
        <v>#REF!</v>
      </c>
      <c r="S11" s="99" t="e">
        <f>ДВОЙНОЙ!R11*(1-$W$5-W11)+IFERROR(SEARCH("комп",ДвойнойDDP!J11)/SEARCH("комп",ДвойнойDDP!J11)*ДвойнойDDP!$S$5,ДвойнойDDP!$T$5)</f>
        <v>#REF!</v>
      </c>
      <c r="T11" s="101" t="e">
        <f t="shared" si="0"/>
        <v>#REF!</v>
      </c>
      <c r="U11" s="2" t="s">
        <v>426</v>
      </c>
      <c r="W11" s="82">
        <f>SUMIFS(РегСкидка!$C$3:$C$619,РегСкидка!$D$3:$D$619,"Рязань",РегСкидка!$B$3:$B$619,U11,РегСкидка!$E$3:$E$619,$W$7)/100*IF($W$3=5,1,0)</f>
        <v>0</v>
      </c>
      <c r="X11" s="82"/>
      <c r="Y11" s="2"/>
      <c r="Z11" s="2"/>
    </row>
    <row r="12" spans="1:26" ht="24.95" customHeight="1" x14ac:dyDescent="0.25">
      <c r="A12" s="1246"/>
      <c r="B12" s="12">
        <v>1200</v>
      </c>
      <c r="C12" s="13">
        <v>600</v>
      </c>
      <c r="D12" s="14">
        <v>120</v>
      </c>
      <c r="E12" s="112"/>
      <c r="F12" s="112">
        <v>0</v>
      </c>
      <c r="G12" s="211" t="s">
        <v>202</v>
      </c>
      <c r="H12" s="607" t="s">
        <v>46</v>
      </c>
      <c r="I12" s="596">
        <v>180.4032</v>
      </c>
      <c r="J12" s="197">
        <v>447.89759999999995</v>
      </c>
      <c r="K12" s="47">
        <v>3</v>
      </c>
      <c r="L12" s="181">
        <v>2.16</v>
      </c>
      <c r="M12" s="198">
        <v>0.25919999999999999</v>
      </c>
      <c r="N12" s="47">
        <v>24</v>
      </c>
      <c r="O12" s="182">
        <v>6.2207999999999997</v>
      </c>
      <c r="P12" s="192">
        <v>68.428799999999995</v>
      </c>
      <c r="Q12" s="48"/>
      <c r="R12" s="88" t="e">
        <f t="shared" si="1"/>
        <v>#REF!</v>
      </c>
      <c r="S12" s="99" t="e">
        <f>ДВОЙНОЙ!R12*(1-$W$5-W12)+IFERROR(SEARCH("комп",ДвойнойDDP!J12)/SEARCH("комп",ДвойнойDDP!J12)*ДвойнойDDP!$S$5,ДвойнойDDP!$T$5)</f>
        <v>#REF!</v>
      </c>
      <c r="T12" s="101" t="e">
        <f t="shared" si="0"/>
        <v>#REF!</v>
      </c>
      <c r="U12" s="2" t="s">
        <v>426</v>
      </c>
      <c r="W12" s="82">
        <f>SUMIFS(РегСкидка!$C$3:$C$619,РегСкидка!$D$3:$D$619,"Рязань",РегСкидка!$B$3:$B$619,U12,РегСкидка!$E$3:$E$619,$W$7)/100*IF($W$3=5,1,0)</f>
        <v>0</v>
      </c>
      <c r="X12" s="82"/>
      <c r="Y12" s="2"/>
      <c r="Z12" s="2"/>
    </row>
    <row r="13" spans="1:26" ht="24.95" customHeight="1" x14ac:dyDescent="0.25">
      <c r="A13" s="1246"/>
      <c r="B13" s="12">
        <v>1200</v>
      </c>
      <c r="C13" s="13">
        <v>600</v>
      </c>
      <c r="D13" s="14">
        <v>130</v>
      </c>
      <c r="E13" s="112">
        <v>181.81818181818181</v>
      </c>
      <c r="F13" s="112">
        <v>26.97919364586031</v>
      </c>
      <c r="G13" s="211" t="s">
        <v>203</v>
      </c>
      <c r="H13" s="607" t="s">
        <v>46</v>
      </c>
      <c r="I13" s="596">
        <v>181.95840000000001</v>
      </c>
      <c r="J13" s="197">
        <v>485.22239999999999</v>
      </c>
      <c r="K13" s="47">
        <v>3</v>
      </c>
      <c r="L13" s="181">
        <v>2.16</v>
      </c>
      <c r="M13" s="198">
        <v>0.28079999999999999</v>
      </c>
      <c r="N13" s="47">
        <v>24</v>
      </c>
      <c r="O13" s="182">
        <v>6.7392000000000003</v>
      </c>
      <c r="P13" s="192">
        <v>74.131200000000007</v>
      </c>
      <c r="Q13" s="48"/>
      <c r="R13" s="88" t="e">
        <f t="shared" si="1"/>
        <v>#REF!</v>
      </c>
      <c r="S13" s="99" t="e">
        <f>ДВОЙНОЙ!R13*(1-$W$5-W13)+IFERROR(SEARCH("комп",ДвойнойDDP!J13)/SEARCH("комп",ДвойнойDDP!J13)*ДвойнойDDP!$S$5,ДвойнойDDP!$T$5)</f>
        <v>#REF!</v>
      </c>
      <c r="T13" s="101" t="e">
        <f t="shared" si="0"/>
        <v>#REF!</v>
      </c>
      <c r="U13" s="2" t="s">
        <v>426</v>
      </c>
      <c r="W13" s="82">
        <f>SUMIFS(РегСкидка!$C$3:$C$619,РегСкидка!$D$3:$D$619,"Рязань",РегСкидка!$B$3:$B$619,U13,РегСкидка!$E$3:$E$619,$W$7)/100*IF($W$3=5,1,0)</f>
        <v>0</v>
      </c>
      <c r="X13" s="82"/>
      <c r="Y13" s="2"/>
      <c r="Z13" s="2"/>
    </row>
    <row r="14" spans="1:26" ht="24.95" customHeight="1" x14ac:dyDescent="0.25">
      <c r="A14" s="1246"/>
      <c r="B14" s="12">
        <v>1200</v>
      </c>
      <c r="C14" s="13">
        <v>600</v>
      </c>
      <c r="D14" s="14">
        <v>140</v>
      </c>
      <c r="E14" s="112">
        <v>181.81818181818181</v>
      </c>
      <c r="F14" s="112">
        <v>28.183621933621932</v>
      </c>
      <c r="G14" s="211" t="s">
        <v>204</v>
      </c>
      <c r="H14" s="607" t="s">
        <v>46</v>
      </c>
      <c r="I14" s="596">
        <v>187.0848</v>
      </c>
      <c r="J14" s="197">
        <v>522.54719999999998</v>
      </c>
      <c r="K14" s="47">
        <v>2</v>
      </c>
      <c r="L14" s="181">
        <v>1.4400000000000002</v>
      </c>
      <c r="M14" s="198">
        <v>0.2016</v>
      </c>
      <c r="N14" s="47">
        <v>32</v>
      </c>
      <c r="O14" s="182">
        <v>6.4512</v>
      </c>
      <c r="P14" s="192">
        <v>70.963200000000001</v>
      </c>
      <c r="Q14" s="48"/>
      <c r="R14" s="88" t="e">
        <f t="shared" si="1"/>
        <v>#REF!</v>
      </c>
      <c r="S14" s="99" t="e">
        <f>ДВОЙНОЙ!R14*(1-$W$5-W14)+IFERROR(SEARCH("комп",ДвойнойDDP!J14)/SEARCH("комп",ДвойнойDDP!J14)*ДвойнойDDP!$S$5,ДвойнойDDP!$T$5)</f>
        <v>#REF!</v>
      </c>
      <c r="T14" s="101" t="e">
        <f t="shared" si="0"/>
        <v>#REF!</v>
      </c>
      <c r="U14" s="2" t="s">
        <v>426</v>
      </c>
      <c r="W14" s="82">
        <f>SUMIFS(РегСкидка!$C$3:$C$619,РегСкидка!$D$3:$D$619,"Рязань",РегСкидка!$B$3:$B$619,U14,РегСкидка!$E$3:$E$619,$W$7)/100*IF($W$3=5,1,0)</f>
        <v>0</v>
      </c>
      <c r="X14" s="82"/>
      <c r="Y14" s="2"/>
      <c r="Z14" s="2"/>
    </row>
    <row r="15" spans="1:26" ht="24.95" customHeight="1" x14ac:dyDescent="0.25">
      <c r="A15" s="1246"/>
      <c r="B15" s="12">
        <v>1200</v>
      </c>
      <c r="C15" s="13">
        <v>600</v>
      </c>
      <c r="D15" s="14">
        <v>150</v>
      </c>
      <c r="E15" s="112">
        <v>185.18518518518519</v>
      </c>
      <c r="F15" s="112">
        <v>26.791838134430726</v>
      </c>
      <c r="G15" s="211" t="s">
        <v>205</v>
      </c>
      <c r="H15" s="607" t="s">
        <v>46</v>
      </c>
      <c r="I15" s="596">
        <v>186.624</v>
      </c>
      <c r="J15" s="197">
        <v>559.87199999999996</v>
      </c>
      <c r="K15" s="47">
        <v>2</v>
      </c>
      <c r="L15" s="181">
        <v>1.4400000000000002</v>
      </c>
      <c r="M15" s="198">
        <v>0.216</v>
      </c>
      <c r="N15" s="47">
        <v>32</v>
      </c>
      <c r="O15" s="182">
        <v>6.9119999999999999</v>
      </c>
      <c r="P15" s="192">
        <v>76.031999999999996</v>
      </c>
      <c r="Q15" s="48"/>
      <c r="R15" s="88" t="e">
        <f t="shared" si="1"/>
        <v>#REF!</v>
      </c>
      <c r="S15" s="99" t="e">
        <f>ДВОЙНОЙ!R15*(1-$W$5-W15)+IFERROR(SEARCH("комп",ДвойнойDDP!J15)/SEARCH("комп",ДвойнойDDP!J15)*ДвойнойDDP!$S$5,ДвойнойDDP!$T$5)</f>
        <v>#REF!</v>
      </c>
      <c r="T15" s="101" t="e">
        <f t="shared" si="0"/>
        <v>#REF!</v>
      </c>
      <c r="U15" s="2" t="s">
        <v>426</v>
      </c>
      <c r="W15" s="82">
        <f>SUMIFS(РегСкидка!$C$3:$C$619,РегСкидка!$D$3:$D$619,"Рязань",РегСкидка!$B$3:$B$619,U15,РегСкидка!$E$3:$E$619,$W$7)/100*IF($W$3=5,1,0)</f>
        <v>0</v>
      </c>
      <c r="X15" s="82"/>
      <c r="Y15" s="2"/>
      <c r="Z15" s="2"/>
    </row>
    <row r="16" spans="1:26" ht="24.95" customHeight="1" x14ac:dyDescent="0.25">
      <c r="A16" s="1246"/>
      <c r="B16" s="12">
        <v>1200</v>
      </c>
      <c r="C16" s="13">
        <v>600</v>
      </c>
      <c r="D16" s="14">
        <v>160</v>
      </c>
      <c r="E16" s="112">
        <v>188.67924528301887</v>
      </c>
      <c r="F16" s="112">
        <v>29.247154836777479</v>
      </c>
      <c r="G16" s="211" t="s">
        <v>206</v>
      </c>
      <c r="H16" s="607" t="s">
        <v>46</v>
      </c>
      <c r="I16" s="596">
        <v>193.536</v>
      </c>
      <c r="J16" s="197">
        <v>522.54719999999998</v>
      </c>
      <c r="K16" s="47">
        <v>2</v>
      </c>
      <c r="L16" s="181">
        <v>1.44</v>
      </c>
      <c r="M16" s="198">
        <v>0.23039999999999999</v>
      </c>
      <c r="N16" s="47">
        <v>28</v>
      </c>
      <c r="O16" s="182">
        <v>6.4512</v>
      </c>
      <c r="P16" s="192">
        <v>70.963200000000001</v>
      </c>
      <c r="Q16" s="48"/>
      <c r="R16" s="88" t="e">
        <f t="shared" si="1"/>
        <v>#REF!</v>
      </c>
      <c r="S16" s="99" t="e">
        <f>ДВОЙНОЙ!R16*(1-$W$5-W16)+IFERROR(SEARCH("комп",ДвойнойDDP!J16)/SEARCH("комп",ДвойнойDDP!J16)*ДвойнойDDP!$S$5,ДвойнойDDP!$T$5)</f>
        <v>#REF!</v>
      </c>
      <c r="T16" s="101" t="e">
        <f t="shared" si="0"/>
        <v>#REF!</v>
      </c>
      <c r="U16" s="2" t="s">
        <v>426</v>
      </c>
      <c r="W16" s="82">
        <f>SUMIFS(РегСкидка!$C$3:$C$619,РегСкидка!$D$3:$D$619,"Рязань",РегСкидка!$B$3:$B$619,U16,РегСкидка!$E$3:$E$619,$W$7)/100*IF($W$3=5,1,0)</f>
        <v>0</v>
      </c>
      <c r="X16" s="82"/>
      <c r="Y16" s="2"/>
      <c r="Z16" s="2"/>
    </row>
    <row r="17" spans="1:26" ht="24.95" customHeight="1" x14ac:dyDescent="0.25">
      <c r="A17" s="1246"/>
      <c r="B17" s="12">
        <v>1200</v>
      </c>
      <c r="C17" s="13">
        <v>600</v>
      </c>
      <c r="D17" s="14">
        <v>170</v>
      </c>
      <c r="E17" s="112">
        <v>188.67924528301887</v>
      </c>
      <c r="F17" s="112">
        <v>27.526733964025862</v>
      </c>
      <c r="G17" s="211" t="s">
        <v>270</v>
      </c>
      <c r="H17" s="607" t="s">
        <v>46</v>
      </c>
      <c r="I17" s="596">
        <v>191.92320000000001</v>
      </c>
      <c r="J17" s="197">
        <v>555.20640000000003</v>
      </c>
      <c r="K17" s="47">
        <v>2</v>
      </c>
      <c r="L17" s="181">
        <v>1.44</v>
      </c>
      <c r="M17" s="198">
        <v>0.24479999999999999</v>
      </c>
      <c r="N17" s="47">
        <v>28</v>
      </c>
      <c r="O17" s="182">
        <v>6.8544</v>
      </c>
      <c r="P17" s="192">
        <v>75.398399999999995</v>
      </c>
      <c r="Q17" s="48"/>
      <c r="R17" s="88" t="e">
        <f t="shared" si="1"/>
        <v>#REF!</v>
      </c>
      <c r="S17" s="99" t="e">
        <f>ДВОЙНОЙ!R17*(1-$W$5-W17)+IFERROR(SEARCH("комп",ДвойнойDDP!J17)/SEARCH("комп",ДвойнойDDP!J17)*ДвойнойDDP!$S$5,ДвойнойDDP!$T$5)</f>
        <v>#REF!</v>
      </c>
      <c r="T17" s="101" t="e">
        <f t="shared" si="0"/>
        <v>#REF!</v>
      </c>
      <c r="U17" s="2" t="s">
        <v>426</v>
      </c>
      <c r="W17" s="82">
        <f>SUMIFS(РегСкидка!$C$3:$C$619,РегСкидка!$D$3:$D$619,"Рязань",РегСкидка!$B$3:$B$619,U17,РегСкидка!$E$3:$E$619,$W$7)/100*IF($W$3=5,1,0)</f>
        <v>0</v>
      </c>
      <c r="X17" s="82"/>
      <c r="Y17" s="2"/>
      <c r="Z17" s="2"/>
    </row>
    <row r="18" spans="1:26" ht="24.95" customHeight="1" x14ac:dyDescent="0.25">
      <c r="A18" s="1246"/>
      <c r="B18" s="12">
        <v>1200</v>
      </c>
      <c r="C18" s="13">
        <v>600</v>
      </c>
      <c r="D18" s="14">
        <v>180</v>
      </c>
      <c r="E18" s="112">
        <v>188.67924528301887</v>
      </c>
      <c r="F18" s="112">
        <v>30.330382793695165</v>
      </c>
      <c r="G18" s="211" t="s">
        <v>207</v>
      </c>
      <c r="H18" s="607" t="s">
        <v>46</v>
      </c>
      <c r="I18" s="596">
        <v>192.84479999999999</v>
      </c>
      <c r="J18" s="197">
        <v>503.88480000000004</v>
      </c>
      <c r="K18" s="47">
        <v>2</v>
      </c>
      <c r="L18" s="181">
        <v>1.44</v>
      </c>
      <c r="M18" s="198">
        <v>0.25919999999999999</v>
      </c>
      <c r="N18" s="47">
        <v>24</v>
      </c>
      <c r="O18" s="182">
        <v>6.2207999999999997</v>
      </c>
      <c r="P18" s="192">
        <v>68.428799999999995</v>
      </c>
      <c r="Q18" s="48"/>
      <c r="R18" s="88" t="e">
        <f t="shared" si="1"/>
        <v>#REF!</v>
      </c>
      <c r="S18" s="99" t="e">
        <f>ДВОЙНОЙ!R18*(1-$W$5-W18)+IFERROR(SEARCH("комп",ДвойнойDDP!J18)/SEARCH("комп",ДвойнойDDP!J18)*ДвойнойDDP!$S$5,ДвойнойDDP!$T$5)</f>
        <v>#REF!</v>
      </c>
      <c r="T18" s="101" t="e">
        <f t="shared" si="0"/>
        <v>#REF!</v>
      </c>
      <c r="U18" s="2" t="s">
        <v>426</v>
      </c>
      <c r="W18" s="82">
        <f>SUMIFS(РегСкидка!$C$3:$C$619,РегСкидка!$D$3:$D$619,"Рязань",РегСкидка!$B$3:$B$619,U18,РегСкидка!$E$3:$E$619,$W$7)/100*IF($W$3=5,1,0)</f>
        <v>0</v>
      </c>
      <c r="X18" s="82"/>
      <c r="Y18" s="2"/>
      <c r="Z18" s="2"/>
    </row>
    <row r="19" spans="1:26" ht="24.95" customHeight="1" x14ac:dyDescent="0.25">
      <c r="A19" s="1246"/>
      <c r="B19" s="12">
        <v>1200</v>
      </c>
      <c r="C19" s="13">
        <v>600</v>
      </c>
      <c r="D19" s="14">
        <v>190</v>
      </c>
      <c r="E19" s="112">
        <v>192.30769230769232</v>
      </c>
      <c r="F19" s="112">
        <v>29.286624681361527</v>
      </c>
      <c r="G19" s="211" t="s">
        <v>271</v>
      </c>
      <c r="H19" s="607" t="s">
        <v>46</v>
      </c>
      <c r="I19" s="596">
        <v>196.99199999999999</v>
      </c>
      <c r="J19" s="197">
        <v>531.87840000000006</v>
      </c>
      <c r="K19" s="47">
        <v>2</v>
      </c>
      <c r="L19" s="181">
        <v>1.4400000000000002</v>
      </c>
      <c r="M19" s="198">
        <v>0.27360000000000001</v>
      </c>
      <c r="N19" s="47">
        <v>24</v>
      </c>
      <c r="O19" s="182">
        <v>6.5663999999999998</v>
      </c>
      <c r="P19" s="192">
        <v>72.230400000000003</v>
      </c>
      <c r="Q19" s="48"/>
      <c r="R19" s="88" t="e">
        <f t="shared" si="1"/>
        <v>#REF!</v>
      </c>
      <c r="S19" s="99" t="e">
        <f>ДВОЙНОЙ!R19*(1-$W$5-W19)+IFERROR(SEARCH("комп",ДвойнойDDP!J19)/SEARCH("комп",ДвойнойDDP!J19)*ДвойнойDDP!$S$5,ДвойнойDDP!$T$5)</f>
        <v>#REF!</v>
      </c>
      <c r="T19" s="101" t="e">
        <f t="shared" si="0"/>
        <v>#REF!</v>
      </c>
      <c r="U19" s="2" t="s">
        <v>426</v>
      </c>
      <c r="W19" s="82">
        <f>SUMIFS(РегСкидка!$C$3:$C$619,РегСкидка!$D$3:$D$619,"Рязань",РегСкидка!$B$3:$B$619,U19,РегСкидка!$E$3:$E$619,$W$7)/100*IF($W$3=5,1,0)</f>
        <v>0</v>
      </c>
      <c r="X19" s="82"/>
      <c r="Y19" s="2"/>
      <c r="Z19" s="2"/>
    </row>
    <row r="20" spans="1:26" ht="24.95" customHeight="1" thickBot="1" x14ac:dyDescent="0.3">
      <c r="A20" s="1247"/>
      <c r="B20" s="15">
        <v>1200</v>
      </c>
      <c r="C20" s="16">
        <v>600</v>
      </c>
      <c r="D20" s="17">
        <v>200</v>
      </c>
      <c r="E20" s="63">
        <v>192.30769230769232</v>
      </c>
      <c r="F20" s="108">
        <v>20.866720085470089</v>
      </c>
      <c r="G20" s="215" t="s">
        <v>208</v>
      </c>
      <c r="H20" s="621" t="s">
        <v>46</v>
      </c>
      <c r="I20" s="597">
        <v>193.53599999999997</v>
      </c>
      <c r="J20" s="446">
        <v>746.49599999999998</v>
      </c>
      <c r="K20" s="49">
        <v>2</v>
      </c>
      <c r="L20" s="183">
        <v>1.44</v>
      </c>
      <c r="M20" s="184">
        <v>0.28799999999999998</v>
      </c>
      <c r="N20" s="49">
        <v>32</v>
      </c>
      <c r="O20" s="184">
        <v>9.2159999999999993</v>
      </c>
      <c r="P20" s="195">
        <v>101.37599999999999</v>
      </c>
      <c r="Q20" s="50"/>
      <c r="R20" s="479" t="e">
        <f t="shared" si="1"/>
        <v>#REF!</v>
      </c>
      <c r="S20" s="90" t="e">
        <f>ДВОЙНОЙ!R20*(1-$W$5-W20)+IFERROR(SEARCH("комп",ДвойнойDDP!J20)/SEARCH("комп",ДвойнойDDP!J20)*ДвойнойDDP!$S$5,ДвойнойDDP!$T$5)</f>
        <v>#REF!</v>
      </c>
      <c r="T20" s="102" t="e">
        <f t="shared" si="0"/>
        <v>#REF!</v>
      </c>
      <c r="U20" s="2" t="s">
        <v>426</v>
      </c>
      <c r="W20" s="82">
        <f>SUMIFS(РегСкидка!$C$3:$C$619,РегСкидка!$D$3:$D$619,"Рязань",РегСкидка!$B$3:$B$619,U20,РегСкидка!$E$3:$E$619,$W$7)/100*IF($W$3=5,1,0)</f>
        <v>0</v>
      </c>
      <c r="X20" s="82"/>
      <c r="Y20" s="2"/>
      <c r="Z20" s="2"/>
    </row>
    <row r="21" spans="1:26" ht="22.5" customHeight="1" x14ac:dyDescent="0.25">
      <c r="A21" s="35" t="s">
        <v>34</v>
      </c>
      <c r="B21" s="9">
        <v>1200</v>
      </c>
      <c r="C21" s="10">
        <v>600</v>
      </c>
      <c r="D21" s="11">
        <v>80</v>
      </c>
      <c r="E21" s="113">
        <v>78.740157480314963</v>
      </c>
      <c r="F21" s="112">
        <v>11.391805191017788</v>
      </c>
      <c r="G21" s="211" t="s">
        <v>444</v>
      </c>
      <c r="H21" s="622" t="s">
        <v>46</v>
      </c>
      <c r="I21" s="596">
        <v>82.944000000000017</v>
      </c>
      <c r="J21" s="199">
        <v>248.83200000000005</v>
      </c>
      <c r="K21" s="45">
        <v>3</v>
      </c>
      <c r="L21" s="185">
        <v>2.16</v>
      </c>
      <c r="M21" s="180">
        <v>0.17280000000000001</v>
      </c>
      <c r="N21" s="96">
        <v>40</v>
      </c>
      <c r="O21" s="180">
        <v>6.9120000000000008</v>
      </c>
      <c r="P21" s="191">
        <v>76.032000000000011</v>
      </c>
      <c r="Q21" s="46"/>
      <c r="R21" s="88" t="e">
        <f t="shared" si="1"/>
        <v>#REF!</v>
      </c>
      <c r="S21" s="99" t="e">
        <f>ДВОЙНОЙ!R21*(1-$W$5-W21)+IFERROR(SEARCH("комп",ДвойнойDDP!J21)/SEARCH("комп",ДвойнойDDP!J21)*ДвойнойDDP!$S$5,ДвойнойDDP!$T$5)</f>
        <v>#REF!</v>
      </c>
      <c r="T21" s="101" t="e">
        <f t="shared" si="0"/>
        <v>#REF!</v>
      </c>
      <c r="U21" s="2" t="s">
        <v>426</v>
      </c>
      <c r="W21" s="82">
        <f>SUMIFS(РегСкидка!$C$3:$C$619,РегСкидка!$D$3:$D$619,"Рязань",РегСкидка!$B$3:$B$619,U21,РегСкидка!$E$3:$E$619,$W$7)/100*IF($W$3=5,1,0)</f>
        <v>0</v>
      </c>
      <c r="X21" s="82"/>
      <c r="Y21" s="2"/>
      <c r="Z21" s="2"/>
    </row>
    <row r="22" spans="1:26" ht="22.5" customHeight="1" x14ac:dyDescent="0.25">
      <c r="A22" s="1246" t="s">
        <v>30</v>
      </c>
      <c r="B22" s="12">
        <v>1200</v>
      </c>
      <c r="C22" s="13">
        <v>600</v>
      </c>
      <c r="D22" s="14">
        <v>90</v>
      </c>
      <c r="E22" s="113">
        <v>81.300813008130078</v>
      </c>
      <c r="F22" s="112">
        <v>13.069189333868648</v>
      </c>
      <c r="G22" s="211" t="s">
        <v>210</v>
      </c>
      <c r="H22" s="607" t="s">
        <v>46</v>
      </c>
      <c r="I22" s="596">
        <v>87.091200000000001</v>
      </c>
      <c r="J22" s="199">
        <v>223.94879999999998</v>
      </c>
      <c r="K22" s="47">
        <v>3</v>
      </c>
      <c r="L22" s="181">
        <v>2.16</v>
      </c>
      <c r="M22" s="182">
        <v>0.19439999999999999</v>
      </c>
      <c r="N22" s="95">
        <v>32</v>
      </c>
      <c r="O22" s="182">
        <v>6.2207999999999997</v>
      </c>
      <c r="P22" s="192">
        <v>68.428799999999995</v>
      </c>
      <c r="Q22" s="48"/>
      <c r="R22" s="88" t="e">
        <f t="shared" si="1"/>
        <v>#REF!</v>
      </c>
      <c r="S22" s="99" t="e">
        <f>ДВОЙНОЙ!R22*(1-$W$5-W22)+IFERROR(SEARCH("комп",ДвойнойDDP!J22)/SEARCH("комп",ДвойнойDDP!J22)*ДвойнойDDP!$S$5,ДвойнойDDP!$T$5)</f>
        <v>#REF!</v>
      </c>
      <c r="T22" s="101" t="e">
        <f t="shared" si="0"/>
        <v>#REF!</v>
      </c>
      <c r="U22" s="2" t="s">
        <v>426</v>
      </c>
      <c r="W22" s="82">
        <f>SUMIFS(РегСкидка!$C$3:$C$619,РегСкидка!$D$3:$D$619,"Рязань",РегСкидка!$B$3:$B$619,U22,РегСкидка!$E$3:$E$619,$W$7)/100*IF($W$3=5,1,0)</f>
        <v>0</v>
      </c>
      <c r="X22" s="82"/>
      <c r="Y22" s="2"/>
      <c r="Z22" s="2"/>
    </row>
    <row r="23" spans="1:26" ht="22.5" customHeight="1" x14ac:dyDescent="0.25">
      <c r="A23" s="1246"/>
      <c r="B23" s="12">
        <v>1200</v>
      </c>
      <c r="C23" s="13">
        <v>600</v>
      </c>
      <c r="D23" s="14">
        <v>100</v>
      </c>
      <c r="E23" s="113"/>
      <c r="F23" s="112">
        <v>0</v>
      </c>
      <c r="G23" s="211" t="s">
        <v>211</v>
      </c>
      <c r="H23" s="607" t="s">
        <v>46</v>
      </c>
      <c r="I23" s="596">
        <v>82.943999999999988</v>
      </c>
      <c r="J23" s="199">
        <v>248.83199999999997</v>
      </c>
      <c r="K23" s="47">
        <v>2</v>
      </c>
      <c r="L23" s="185">
        <v>1.44</v>
      </c>
      <c r="M23" s="186">
        <v>0.14399999999999999</v>
      </c>
      <c r="N23" s="96">
        <v>48</v>
      </c>
      <c r="O23" s="190">
        <v>6.911999999999999</v>
      </c>
      <c r="P23" s="191">
        <v>76.031999999999982</v>
      </c>
      <c r="Q23" s="55"/>
      <c r="R23" s="88" t="e">
        <f t="shared" si="1"/>
        <v>#REF!</v>
      </c>
      <c r="S23" s="99" t="e">
        <f>ДВОЙНОЙ!R23*(1-$W$5-W23)+IFERROR(SEARCH("комп",ДвойнойDDP!J23)/SEARCH("комп",ДвойнойDDP!J23)*ДвойнойDDP!$S$5,ДвойнойDDP!$T$5)</f>
        <v>#REF!</v>
      </c>
      <c r="T23" s="101" t="e">
        <f t="shared" si="0"/>
        <v>#REF!</v>
      </c>
      <c r="U23" s="2" t="s">
        <v>426</v>
      </c>
      <c r="W23" s="82">
        <f>SUMIFS(РегСкидка!$C$3:$C$619,РегСкидка!$D$3:$D$619,"Рязань",РегСкидка!$B$3:$B$619,U23,РегСкидка!$E$3:$E$619,$W$7)/100*IF($W$3=5,1,0)</f>
        <v>0</v>
      </c>
      <c r="Y23" s="2"/>
      <c r="Z23" s="2"/>
    </row>
    <row r="24" spans="1:26" ht="22.5" customHeight="1" x14ac:dyDescent="0.25">
      <c r="A24" s="1246"/>
      <c r="B24" s="12">
        <v>1200</v>
      </c>
      <c r="C24" s="13">
        <v>600</v>
      </c>
      <c r="D24" s="14">
        <v>110</v>
      </c>
      <c r="E24" s="113">
        <v>84.745762711864401</v>
      </c>
      <c r="F24" s="112">
        <v>13.375278205786678</v>
      </c>
      <c r="G24" s="211" t="s">
        <v>212</v>
      </c>
      <c r="H24" s="607" t="s">
        <v>46</v>
      </c>
      <c r="I24" s="596">
        <v>88.704000000000008</v>
      </c>
      <c r="J24" s="199">
        <v>266.11200000000002</v>
      </c>
      <c r="K24" s="47">
        <v>2</v>
      </c>
      <c r="L24" s="181">
        <v>1.4400000000000002</v>
      </c>
      <c r="M24" s="187">
        <v>0.15840000000000001</v>
      </c>
      <c r="N24" s="47">
        <v>40</v>
      </c>
      <c r="O24" s="182">
        <v>6.3360000000000003</v>
      </c>
      <c r="P24" s="192">
        <v>69.695999999999998</v>
      </c>
      <c r="Q24" s="48"/>
      <c r="R24" s="88" t="e">
        <f t="shared" si="1"/>
        <v>#REF!</v>
      </c>
      <c r="S24" s="99" t="e">
        <f>ДВОЙНОЙ!R24*(1-$W$5-W24)+IFERROR(SEARCH("комп",ДвойнойDDP!J24)/SEARCH("комп",ДвойнойDDP!J24)*ДвойнойDDP!$S$5,ДвойнойDDP!$T$5)</f>
        <v>#REF!</v>
      </c>
      <c r="T24" s="101" t="e">
        <f t="shared" si="0"/>
        <v>#REF!</v>
      </c>
      <c r="U24" s="2" t="s">
        <v>426</v>
      </c>
      <c r="W24" s="82">
        <f>SUMIFS(РегСкидка!$C$3:$C$619,РегСкидка!$D$3:$D$619,"Рязань",РегСкидка!$B$3:$B$619,U24,РегСкидка!$E$3:$E$619,$W$7)/100*IF($W$3=5,1,0)</f>
        <v>0</v>
      </c>
      <c r="X24" s="82"/>
      <c r="Y24" s="2"/>
      <c r="Z24" s="2"/>
    </row>
    <row r="25" spans="1:26" ht="22.5" customHeight="1" x14ac:dyDescent="0.25">
      <c r="A25" s="1246"/>
      <c r="B25" s="12">
        <v>1200</v>
      </c>
      <c r="C25" s="13">
        <v>600</v>
      </c>
      <c r="D25" s="14">
        <v>120</v>
      </c>
      <c r="E25" s="112"/>
      <c r="F25" s="112">
        <v>0</v>
      </c>
      <c r="G25" s="211" t="s">
        <v>213</v>
      </c>
      <c r="H25" s="607" t="s">
        <v>46</v>
      </c>
      <c r="I25" s="596">
        <v>89.856000000000009</v>
      </c>
      <c r="J25" s="199">
        <v>290.30400000000003</v>
      </c>
      <c r="K25" s="47">
        <v>2</v>
      </c>
      <c r="L25" s="181">
        <v>1.4400000000000002</v>
      </c>
      <c r="M25" s="182">
        <v>0.17280000000000001</v>
      </c>
      <c r="N25" s="47">
        <v>40</v>
      </c>
      <c r="O25" s="182">
        <v>6.9120000000000008</v>
      </c>
      <c r="P25" s="192">
        <v>76.032000000000011</v>
      </c>
      <c r="Q25" s="48"/>
      <c r="R25" s="88" t="e">
        <f t="shared" si="1"/>
        <v>#REF!</v>
      </c>
      <c r="S25" s="99" t="e">
        <f>ДВОЙНОЙ!R25*(1-$W$5-W25)+IFERROR(SEARCH("комп",ДвойнойDDP!J25)/SEARCH("комп",ДвойнойDDP!J25)*ДвойнойDDP!$S$5,ДвойнойDDP!$T$5)</f>
        <v>#REF!</v>
      </c>
      <c r="T25" s="101" t="e">
        <f t="shared" si="0"/>
        <v>#REF!</v>
      </c>
      <c r="U25" s="2" t="s">
        <v>426</v>
      </c>
      <c r="W25" s="82">
        <f>SUMIFS(РегСкидка!$C$3:$C$619,РегСкидка!$D$3:$D$619,"Рязань",РегСкидка!$B$3:$B$619,U25,РегСкидка!$E$3:$E$619,$W$7)/100*IF($W$3=5,1,0)</f>
        <v>0</v>
      </c>
      <c r="Y25" s="2"/>
      <c r="Z25" s="2"/>
    </row>
    <row r="26" spans="1:26" ht="22.5" customHeight="1" x14ac:dyDescent="0.25">
      <c r="A26" s="1246"/>
      <c r="B26" s="12">
        <v>1200</v>
      </c>
      <c r="C26" s="13">
        <v>600</v>
      </c>
      <c r="D26" s="14">
        <v>130</v>
      </c>
      <c r="E26" s="112">
        <v>86.956521739130437</v>
      </c>
      <c r="F26" s="112">
        <v>12.90309261323754</v>
      </c>
      <c r="G26" s="211" t="s">
        <v>214</v>
      </c>
      <c r="H26" s="607" t="s">
        <v>46</v>
      </c>
      <c r="I26" s="596">
        <v>87.6096</v>
      </c>
      <c r="J26" s="199">
        <v>283.04640000000006</v>
      </c>
      <c r="K26" s="47">
        <v>2</v>
      </c>
      <c r="L26" s="181">
        <v>1.4400000000000002</v>
      </c>
      <c r="M26" s="182">
        <v>0.18720000000000001</v>
      </c>
      <c r="N26" s="47">
        <v>36</v>
      </c>
      <c r="O26" s="182">
        <v>6.7392000000000003</v>
      </c>
      <c r="P26" s="192">
        <v>74.131200000000007</v>
      </c>
      <c r="Q26" s="48"/>
      <c r="R26" s="88" t="e">
        <f t="shared" si="1"/>
        <v>#REF!</v>
      </c>
      <c r="S26" s="99" t="e">
        <f>ДВОЙНОЙ!R26*(1-$W$5-W26)+IFERROR(SEARCH("комп",ДвойнойDDP!J26)/SEARCH("комп",ДвойнойDDP!J26)*ДвойнойDDP!$S$5,ДвойнойDDP!$T$5)</f>
        <v>#REF!</v>
      </c>
      <c r="T26" s="101" t="e">
        <f t="shared" si="0"/>
        <v>#REF!</v>
      </c>
      <c r="U26" s="2" t="s">
        <v>426</v>
      </c>
      <c r="W26" s="82">
        <f>SUMIFS(РегСкидка!$C$3:$C$619,РегСкидка!$D$3:$D$619,"Рязань",РегСкидка!$B$3:$B$619,U26,РегСкидка!$E$3:$E$619,$W$7)/100*IF($W$3=5,1,0)</f>
        <v>0</v>
      </c>
      <c r="X26" s="82"/>
      <c r="Y26" s="2"/>
      <c r="Z26" s="2"/>
    </row>
    <row r="27" spans="1:26" ht="22.5" customHeight="1" x14ac:dyDescent="0.25">
      <c r="A27" s="1246"/>
      <c r="B27" s="12">
        <v>1200</v>
      </c>
      <c r="C27" s="13">
        <v>600</v>
      </c>
      <c r="D27" s="14">
        <v>140</v>
      </c>
      <c r="E27" s="112">
        <v>88.495575221238937</v>
      </c>
      <c r="F27" s="112">
        <v>13.717692091585898</v>
      </c>
      <c r="G27" s="211" t="s">
        <v>215</v>
      </c>
      <c r="H27" s="607" t="s">
        <v>46</v>
      </c>
      <c r="I27" s="596">
        <v>90.316800000000001</v>
      </c>
      <c r="J27" s="199">
        <v>270.9504</v>
      </c>
      <c r="K27" s="47">
        <v>2</v>
      </c>
      <c r="L27" s="181">
        <v>1.4400000000000002</v>
      </c>
      <c r="M27" s="182">
        <v>0.2016</v>
      </c>
      <c r="N27" s="47">
        <v>32</v>
      </c>
      <c r="O27" s="182">
        <v>6.4512</v>
      </c>
      <c r="P27" s="192">
        <v>70.963200000000001</v>
      </c>
      <c r="Q27" s="48"/>
      <c r="R27" s="88" t="e">
        <f t="shared" si="1"/>
        <v>#REF!</v>
      </c>
      <c r="S27" s="99" t="e">
        <f>ДВОЙНОЙ!R27*(1-$W$5-W27)+IFERROR(SEARCH("комп",ДвойнойDDP!J27)/SEARCH("комп",ДвойнойDDP!J27)*ДвойнойDDP!$S$5,ДвойнойDDP!$T$5)</f>
        <v>#REF!</v>
      </c>
      <c r="T27" s="101" t="e">
        <f t="shared" si="0"/>
        <v>#REF!</v>
      </c>
      <c r="U27" s="2" t="s">
        <v>426</v>
      </c>
      <c r="W27" s="82">
        <f>SUMIFS(РегСкидка!$C$3:$C$619,РегСкидка!$D$3:$D$619,"Рязань",РегСкидка!$B$3:$B$619,U27,РегСкидка!$E$3:$E$619,$W$7)/100*IF($W$3=5,1,0)</f>
        <v>0</v>
      </c>
      <c r="X27" s="82"/>
      <c r="Y27" s="2"/>
      <c r="Z27" s="2"/>
    </row>
    <row r="28" spans="1:26" ht="22.5" customHeight="1" x14ac:dyDescent="0.25">
      <c r="A28" s="1246"/>
      <c r="B28" s="12">
        <v>1200</v>
      </c>
      <c r="C28" s="13">
        <v>600</v>
      </c>
      <c r="D28" s="14">
        <v>150</v>
      </c>
      <c r="E28" s="112">
        <v>89.285714285714292</v>
      </c>
      <c r="F28" s="112">
        <v>12.917493386243388</v>
      </c>
      <c r="G28" s="211" t="s">
        <v>216</v>
      </c>
      <c r="H28" s="607" t="s">
        <v>46</v>
      </c>
      <c r="I28" s="596">
        <v>89.855999999999995</v>
      </c>
      <c r="J28" s="199">
        <v>290.30399999999997</v>
      </c>
      <c r="K28" s="47">
        <v>2</v>
      </c>
      <c r="L28" s="181">
        <v>1.4400000000000002</v>
      </c>
      <c r="M28" s="182">
        <v>0.216</v>
      </c>
      <c r="N28" s="47">
        <v>32</v>
      </c>
      <c r="O28" s="182">
        <v>6.9119999999999999</v>
      </c>
      <c r="P28" s="192">
        <v>76.031999999999996</v>
      </c>
      <c r="Q28" s="48"/>
      <c r="R28" s="88" t="e">
        <f t="shared" si="1"/>
        <v>#REF!</v>
      </c>
      <c r="S28" s="99" t="e">
        <f>ДВОЙНОЙ!R28*(1-$W$5-W28)+IFERROR(SEARCH("комп",ДвойнойDDP!J28)/SEARCH("комп",ДвойнойDDP!J28)*ДвойнойDDP!$S$5,ДвойнойDDP!$T$5)</f>
        <v>#REF!</v>
      </c>
      <c r="T28" s="101" t="e">
        <f t="shared" si="0"/>
        <v>#REF!</v>
      </c>
      <c r="U28" s="2" t="s">
        <v>426</v>
      </c>
      <c r="W28" s="82">
        <f>SUMIFS(РегСкидка!$C$3:$C$619,РегСкидка!$D$3:$D$619,"Рязань",РегСкидка!$B$3:$B$619,U28,РегСкидка!$E$3:$E$619,$W$7)/100*IF($W$3=5,1,0)</f>
        <v>0</v>
      </c>
      <c r="Y28" s="2"/>
      <c r="Z28" s="2"/>
    </row>
    <row r="29" spans="1:26" ht="22.5" customHeight="1" x14ac:dyDescent="0.25">
      <c r="A29" s="1246"/>
      <c r="B29" s="12">
        <v>1200</v>
      </c>
      <c r="C29" s="13">
        <v>600</v>
      </c>
      <c r="D29" s="14">
        <v>160</v>
      </c>
      <c r="E29" s="112">
        <v>90.090090090090087</v>
      </c>
      <c r="F29" s="112">
        <v>13.964857714857715</v>
      </c>
      <c r="G29" s="211" t="s">
        <v>272</v>
      </c>
      <c r="H29" s="607" t="s">
        <v>46</v>
      </c>
      <c r="I29" s="596">
        <v>90.316800000000001</v>
      </c>
      <c r="J29" s="199">
        <v>270.9504</v>
      </c>
      <c r="K29" s="47">
        <v>2</v>
      </c>
      <c r="L29" s="181">
        <v>1.44</v>
      </c>
      <c r="M29" s="182">
        <v>0.23039999999999999</v>
      </c>
      <c r="N29" s="47">
        <v>28</v>
      </c>
      <c r="O29" s="182">
        <v>6.4512</v>
      </c>
      <c r="P29" s="192">
        <v>70.963200000000001</v>
      </c>
      <c r="Q29" s="48"/>
      <c r="R29" s="88" t="e">
        <f t="shared" si="1"/>
        <v>#REF!</v>
      </c>
      <c r="S29" s="99" t="e">
        <f>ДВОЙНОЙ!R29*(1-$W$5-W29)+IFERROR(SEARCH("комп",ДвойнойDDP!J29)/SEARCH("комп",ДвойнойDDP!J29)*ДвойнойDDP!$S$5,ДвойнойDDP!$T$5)</f>
        <v>#REF!</v>
      </c>
      <c r="T29" s="101" t="e">
        <f t="shared" si="0"/>
        <v>#REF!</v>
      </c>
      <c r="U29" s="2" t="s">
        <v>426</v>
      </c>
      <c r="W29" s="82">
        <f>SUMIFS(РегСкидка!$C$3:$C$619,РегСкидка!$D$3:$D$619,"Рязань",РегСкидка!$B$3:$B$619,U29,РегСкидка!$E$3:$E$619,$W$7)/100*IF($W$3=5,1,0)</f>
        <v>0</v>
      </c>
      <c r="X29" s="82"/>
      <c r="Y29" s="2"/>
      <c r="Z29" s="2"/>
    </row>
    <row r="30" spans="1:26" ht="22.5" customHeight="1" x14ac:dyDescent="0.25">
      <c r="A30" s="1246"/>
      <c r="B30" s="12">
        <v>1200</v>
      </c>
      <c r="C30" s="13">
        <v>600</v>
      </c>
      <c r="D30" s="14">
        <v>170</v>
      </c>
      <c r="E30" s="112">
        <v>90.909090909090907</v>
      </c>
      <c r="F30" s="112">
        <v>13.262880909939733</v>
      </c>
      <c r="G30" s="211" t="s">
        <v>273</v>
      </c>
      <c r="H30" s="607" t="s">
        <v>46</v>
      </c>
      <c r="I30" s="596">
        <v>95.961600000000004</v>
      </c>
      <c r="J30" s="199">
        <v>287.88480000000004</v>
      </c>
      <c r="K30" s="47">
        <v>2</v>
      </c>
      <c r="L30" s="181">
        <v>1.44</v>
      </c>
      <c r="M30" s="182">
        <v>0.24479999999999999</v>
      </c>
      <c r="N30" s="47">
        <v>28</v>
      </c>
      <c r="O30" s="182">
        <v>6.8544</v>
      </c>
      <c r="P30" s="192">
        <v>75.398399999999995</v>
      </c>
      <c r="Q30" s="48"/>
      <c r="R30" s="88" t="e">
        <f t="shared" si="1"/>
        <v>#REF!</v>
      </c>
      <c r="S30" s="99" t="e">
        <f>ДВОЙНОЙ!R30*(1-$W$5-W30)+IFERROR(SEARCH("комп",ДвойнойDDP!J30)/SEARCH("комп",ДвойнойDDP!J30)*ДвойнойDDP!$S$5,ДвойнойDDP!$T$5)</f>
        <v>#REF!</v>
      </c>
      <c r="T30" s="101" t="e">
        <f t="shared" si="0"/>
        <v>#REF!</v>
      </c>
      <c r="U30" s="2" t="s">
        <v>426</v>
      </c>
      <c r="W30" s="82">
        <f>SUMIFS(РегСкидка!$C$3:$C$619,РегСкидка!$D$3:$D$619,"Рязань",РегСкидка!$B$3:$B$619,U30,РегСкидка!$E$3:$E$619,$W$7)/100*IF($W$3=5,1,0)</f>
        <v>0</v>
      </c>
      <c r="X30" s="82"/>
      <c r="Y30" s="2"/>
      <c r="Z30" s="2"/>
    </row>
    <row r="31" spans="1:26" ht="22.5" customHeight="1" x14ac:dyDescent="0.25">
      <c r="A31" s="1246"/>
      <c r="B31" s="12">
        <v>1200</v>
      </c>
      <c r="C31" s="13">
        <v>600</v>
      </c>
      <c r="D31" s="14">
        <v>180</v>
      </c>
      <c r="E31" s="112">
        <v>91.743119266055047</v>
      </c>
      <c r="F31" s="112">
        <v>14.74780080794352</v>
      </c>
      <c r="G31" s="211" t="s">
        <v>217</v>
      </c>
      <c r="H31" s="607" t="s">
        <v>46</v>
      </c>
      <c r="I31" s="596">
        <v>93.311999999999998</v>
      </c>
      <c r="J31" s="199">
        <v>261.27359999999999</v>
      </c>
      <c r="K31" s="47">
        <v>2</v>
      </c>
      <c r="L31" s="181">
        <v>1.44</v>
      </c>
      <c r="M31" s="182">
        <v>0.25919999999999999</v>
      </c>
      <c r="N31" s="47">
        <v>24</v>
      </c>
      <c r="O31" s="182">
        <v>6.2207999999999997</v>
      </c>
      <c r="P31" s="192">
        <v>68.428799999999995</v>
      </c>
      <c r="Q31" s="48"/>
      <c r="R31" s="88" t="e">
        <f t="shared" si="1"/>
        <v>#REF!</v>
      </c>
      <c r="S31" s="99" t="e">
        <f>ДВОЙНОЙ!R31*(1-$W$5-W31)+IFERROR(SEARCH("комп",ДвойнойDDP!J31)/SEARCH("комп",ДвойнойDDP!J31)*ДвойнойDDP!$S$5,ДвойнойDDP!$T$5)</f>
        <v>#REF!</v>
      </c>
      <c r="T31" s="101" t="e">
        <f t="shared" si="0"/>
        <v>#REF!</v>
      </c>
      <c r="U31" s="2" t="s">
        <v>426</v>
      </c>
      <c r="W31" s="82">
        <f>SUMIFS(РегСкидка!$C$3:$C$619,РегСкидка!$D$3:$D$619,"Рязань",РегСкидка!$B$3:$B$619,U31,РегСкидка!$E$3:$E$619,$W$7)/100*IF($W$3=5,1,0)</f>
        <v>0</v>
      </c>
      <c r="X31" s="82"/>
      <c r="Y31" s="2"/>
      <c r="Z31" s="2"/>
    </row>
    <row r="32" spans="1:26" ht="22.5" customHeight="1" x14ac:dyDescent="0.25">
      <c r="A32" s="1246"/>
      <c r="B32" s="12">
        <v>1200</v>
      </c>
      <c r="C32" s="13">
        <v>600</v>
      </c>
      <c r="D32" s="14">
        <v>190</v>
      </c>
      <c r="E32" s="112">
        <v>92.592592592592595</v>
      </c>
      <c r="F32" s="112">
        <v>14.100967439174068</v>
      </c>
      <c r="G32" s="211" t="s">
        <v>274</v>
      </c>
      <c r="H32" s="607" t="s">
        <v>46</v>
      </c>
      <c r="I32" s="596">
        <v>98.495999999999995</v>
      </c>
      <c r="J32" s="199">
        <v>275.78879999999998</v>
      </c>
      <c r="K32" s="47">
        <v>2</v>
      </c>
      <c r="L32" s="181">
        <v>1.4400000000000002</v>
      </c>
      <c r="M32" s="182">
        <v>0.27360000000000001</v>
      </c>
      <c r="N32" s="47">
        <v>24</v>
      </c>
      <c r="O32" s="182">
        <v>6.5663999999999998</v>
      </c>
      <c r="P32" s="192">
        <v>72.230400000000003</v>
      </c>
      <c r="Q32" s="48"/>
      <c r="R32" s="88" t="e">
        <f t="shared" si="1"/>
        <v>#REF!</v>
      </c>
      <c r="S32" s="99" t="e">
        <f>ДВОЙНОЙ!R32*(1-$W$5-W32)+IFERROR(SEARCH("комп",ДвойнойDDP!J32)/SEARCH("комп",ДвойнойDDP!J32)*ДвойнойDDP!$S$5,ДвойнойDDP!$T$5)</f>
        <v>#REF!</v>
      </c>
      <c r="T32" s="101" t="e">
        <f t="shared" si="0"/>
        <v>#REF!</v>
      </c>
      <c r="U32" s="2" t="s">
        <v>426</v>
      </c>
      <c r="W32" s="82">
        <f>SUMIFS(РегСкидка!$C$3:$C$619,РегСкидка!$D$3:$D$619,"Рязань",РегСкидка!$B$3:$B$619,U32,РегСкидка!$E$3:$E$619,$W$7)/100*IF($W$3=5,1,0)</f>
        <v>0</v>
      </c>
      <c r="X32" s="82"/>
      <c r="Y32" s="2"/>
      <c r="Z32" s="2"/>
    </row>
    <row r="33" spans="1:26" ht="22.5" customHeight="1" thickBot="1" x14ac:dyDescent="0.3">
      <c r="A33" s="1247"/>
      <c r="B33" s="15">
        <v>1200</v>
      </c>
      <c r="C33" s="16">
        <v>600</v>
      </c>
      <c r="D33" s="17">
        <v>200</v>
      </c>
      <c r="E33" s="63">
        <v>92.592592592592595</v>
      </c>
      <c r="F33" s="112">
        <v>13.395919067215365</v>
      </c>
      <c r="G33" s="212" t="s">
        <v>218</v>
      </c>
      <c r="H33" s="621" t="s">
        <v>46</v>
      </c>
      <c r="I33" s="597">
        <v>96.767999999999986</v>
      </c>
      <c r="J33" s="446">
        <v>290.30399999999997</v>
      </c>
      <c r="K33" s="49">
        <v>1</v>
      </c>
      <c r="L33" s="183">
        <v>0.72</v>
      </c>
      <c r="M33" s="184">
        <v>0.14399999999999999</v>
      </c>
      <c r="N33" s="49">
        <v>48</v>
      </c>
      <c r="O33" s="184">
        <v>6.911999999999999</v>
      </c>
      <c r="P33" s="193">
        <v>76.031999999999982</v>
      </c>
      <c r="Q33" s="50"/>
      <c r="R33" s="479" t="e">
        <f t="shared" si="1"/>
        <v>#REF!</v>
      </c>
      <c r="S33" s="90" t="e">
        <f>ДВОЙНОЙ!R33*(1-$W$5-W33)+IFERROR(SEARCH("комп",ДвойнойDDP!J33)/SEARCH("комп",ДвойнойDDP!J33)*ДвойнойDDP!$S$5,ДвойнойDDP!$T$5)</f>
        <v>#REF!</v>
      </c>
      <c r="T33" s="102" t="e">
        <f t="shared" si="0"/>
        <v>#REF!</v>
      </c>
      <c r="U33" s="2" t="s">
        <v>426</v>
      </c>
      <c r="W33" s="82">
        <f>SUMIFS(РегСкидка!$C$3:$C$619,РегСкидка!$D$3:$D$619,"Рязань",РегСкидка!$B$3:$B$619,U33,РегСкидка!$E$3:$E$619,$W$7)/100*IF($W$3=5,1,0)</f>
        <v>0</v>
      </c>
      <c r="X33" s="82"/>
      <c r="Y33" s="2"/>
      <c r="Z33" s="2"/>
    </row>
    <row r="34" spans="1:26" ht="22.5" customHeight="1" x14ac:dyDescent="0.25">
      <c r="A34" s="35" t="s">
        <v>35</v>
      </c>
      <c r="B34" s="12">
        <v>1200</v>
      </c>
      <c r="C34" s="13">
        <v>600</v>
      </c>
      <c r="D34" s="14">
        <v>80</v>
      </c>
      <c r="E34" s="112"/>
      <c r="F34" s="112">
        <v>0</v>
      </c>
      <c r="G34" s="213" t="s">
        <v>219</v>
      </c>
      <c r="H34" s="622" t="s">
        <v>46</v>
      </c>
      <c r="I34" s="596">
        <v>76.032000000000011</v>
      </c>
      <c r="J34" s="197">
        <v>269.56800000000004</v>
      </c>
      <c r="K34" s="45">
        <v>3</v>
      </c>
      <c r="L34" s="179">
        <v>2.16</v>
      </c>
      <c r="M34" s="200">
        <v>0.17280000000000001</v>
      </c>
      <c r="N34" s="45">
        <v>40</v>
      </c>
      <c r="O34" s="180">
        <v>6.9120000000000008</v>
      </c>
      <c r="P34" s="201">
        <v>76.032000000000011</v>
      </c>
      <c r="Q34" s="46"/>
      <c r="R34" s="88" t="e">
        <f t="shared" si="1"/>
        <v>#REF!</v>
      </c>
      <c r="S34" s="99" t="e">
        <f>ДВОЙНОЙ!R34*(1-$W$5-W34)+IFERROR(SEARCH("комп",ДвойнойDDP!J34)/SEARCH("комп",ДвойнойDDP!J34)*ДвойнойDDP!$S$5,ДвойнойDDP!$T$5)</f>
        <v>#REF!</v>
      </c>
      <c r="T34" s="101" t="e">
        <f t="shared" si="0"/>
        <v>#REF!</v>
      </c>
      <c r="U34" s="2" t="s">
        <v>427</v>
      </c>
      <c r="W34" s="82">
        <f>SUMIFS(РегСкидка!$C$3:$C$619,РегСкидка!$D$3:$D$619,"Рязань",РегСкидка!$B$3:$B$619,U34,РегСкидка!$E$3:$E$619,$W$7)/100*IF($W$3=5,1,0)</f>
        <v>0</v>
      </c>
      <c r="X34" s="82"/>
      <c r="Y34" s="2"/>
      <c r="Z34" s="2"/>
    </row>
    <row r="35" spans="1:26" ht="22.5" customHeight="1" x14ac:dyDescent="0.25">
      <c r="A35" s="1246" t="s">
        <v>32</v>
      </c>
      <c r="B35" s="12">
        <v>1200</v>
      </c>
      <c r="C35" s="13">
        <v>600</v>
      </c>
      <c r="D35" s="14">
        <v>90</v>
      </c>
      <c r="E35" s="112">
        <v>75.187969924812023</v>
      </c>
      <c r="F35" s="112">
        <v>12.086543519292057</v>
      </c>
      <c r="G35" s="214" t="s">
        <v>275</v>
      </c>
      <c r="H35" s="607" t="s">
        <v>46</v>
      </c>
      <c r="I35" s="596">
        <v>80.870399999999989</v>
      </c>
      <c r="J35" s="197">
        <v>242.61119999999997</v>
      </c>
      <c r="K35" s="47">
        <v>3</v>
      </c>
      <c r="L35" s="181">
        <v>2.16</v>
      </c>
      <c r="M35" s="198">
        <v>0.19439999999999999</v>
      </c>
      <c r="N35" s="47">
        <v>32</v>
      </c>
      <c r="O35" s="182">
        <v>6.2207999999999997</v>
      </c>
      <c r="P35" s="192">
        <v>68.428799999999995</v>
      </c>
      <c r="Q35" s="48"/>
      <c r="R35" s="88" t="e">
        <f t="shared" si="1"/>
        <v>#REF!</v>
      </c>
      <c r="S35" s="99" t="e">
        <f>ДВОЙНОЙ!R35*(1-$W$5-W35)+IFERROR(SEARCH("комп",ДвойнойDDP!J35)/SEARCH("комп",ДвойнойDDP!J35)*ДвойнойDDP!$S$5,ДвойнойDDP!$T$5)</f>
        <v>#REF!</v>
      </c>
      <c r="T35" s="101" t="e">
        <f t="shared" si="0"/>
        <v>#REF!</v>
      </c>
      <c r="U35" s="2" t="s">
        <v>427</v>
      </c>
      <c r="W35" s="82">
        <f>SUMIFS(РегСкидка!$C$3:$C$619,РегСкидка!$D$3:$D$619,"Рязань",РегСкидка!$B$3:$B$619,U35,РегСкидка!$E$3:$E$619,$W$7)/100*IF($W$3=5,1,0)</f>
        <v>0</v>
      </c>
      <c r="X35" s="82"/>
      <c r="Y35" s="2"/>
      <c r="Z35" s="2"/>
    </row>
    <row r="36" spans="1:26" ht="22.5" customHeight="1" x14ac:dyDescent="0.25">
      <c r="A36" s="1246"/>
      <c r="B36" s="12">
        <v>1200</v>
      </c>
      <c r="C36" s="13">
        <v>600</v>
      </c>
      <c r="D36" s="14">
        <v>100</v>
      </c>
      <c r="E36" s="112">
        <v>76.335877862595424</v>
      </c>
      <c r="F36" s="112">
        <v>11.043963811139387</v>
      </c>
      <c r="G36" s="214" t="s">
        <v>221</v>
      </c>
      <c r="H36" s="607" t="s">
        <v>46</v>
      </c>
      <c r="I36" s="596">
        <v>82.943999999999988</v>
      </c>
      <c r="J36" s="197">
        <v>269.56799999999998</v>
      </c>
      <c r="K36" s="47">
        <v>2</v>
      </c>
      <c r="L36" s="181">
        <v>1.44</v>
      </c>
      <c r="M36" s="198">
        <v>0.14399999999999999</v>
      </c>
      <c r="N36" s="47">
        <v>48</v>
      </c>
      <c r="O36" s="182">
        <v>6.911999999999999</v>
      </c>
      <c r="P36" s="192">
        <v>76.031999999999982</v>
      </c>
      <c r="Q36" s="48"/>
      <c r="R36" s="88" t="e">
        <f t="shared" si="1"/>
        <v>#REF!</v>
      </c>
      <c r="S36" s="99" t="e">
        <f>ДВОЙНОЙ!R36*(1-$W$5-W36)+IFERROR(SEARCH("комп",ДвойнойDDP!J36)/SEARCH("комп",ДвойнойDDP!J36)*ДвойнойDDP!$S$5,ДвойнойDDP!$T$5)</f>
        <v>#REF!</v>
      </c>
      <c r="T36" s="101" t="e">
        <f t="shared" si="0"/>
        <v>#REF!</v>
      </c>
      <c r="U36" s="2" t="s">
        <v>427</v>
      </c>
      <c r="W36" s="82">
        <f>SUMIFS(РегСкидка!$C$3:$C$619,РегСкидка!$D$3:$D$619,"Рязань",РегСкидка!$B$3:$B$619,U36,РегСкидка!$E$3:$E$619,$W$7)/100*IF($W$3=5,1,0)</f>
        <v>0</v>
      </c>
      <c r="X36" s="82"/>
      <c r="Y36" s="2"/>
      <c r="Z36" s="2"/>
    </row>
    <row r="37" spans="1:26" ht="22.5" customHeight="1" x14ac:dyDescent="0.25">
      <c r="A37" s="1246"/>
      <c r="B37" s="12">
        <v>1200</v>
      </c>
      <c r="C37" s="13">
        <v>600</v>
      </c>
      <c r="D37" s="14">
        <v>110</v>
      </c>
      <c r="E37" s="112">
        <v>77.519379844961236</v>
      </c>
      <c r="F37" s="112">
        <v>12.23475060684363</v>
      </c>
      <c r="G37" s="214" t="s">
        <v>220</v>
      </c>
      <c r="H37" s="607" t="s">
        <v>46</v>
      </c>
      <c r="I37" s="596">
        <v>82.368000000000009</v>
      </c>
      <c r="J37" s="197">
        <v>247.10400000000004</v>
      </c>
      <c r="K37" s="47">
        <v>2</v>
      </c>
      <c r="L37" s="181">
        <v>1.4400000000000002</v>
      </c>
      <c r="M37" s="198">
        <v>0.15840000000000001</v>
      </c>
      <c r="N37" s="47">
        <v>40</v>
      </c>
      <c r="O37" s="182">
        <v>6.3360000000000003</v>
      </c>
      <c r="P37" s="192">
        <v>69.695999999999998</v>
      </c>
      <c r="Q37" s="48"/>
      <c r="R37" s="88" t="e">
        <f t="shared" si="1"/>
        <v>#REF!</v>
      </c>
      <c r="S37" s="99" t="e">
        <f>ДВОЙНОЙ!R37*(1-$W$5-W37)+IFERROR(SEARCH("комп",ДвойнойDDP!J37)/SEARCH("комп",ДвойнойDDP!J37)*ДвойнойDDP!$S$5,ДвойнойDDP!$T$5)</f>
        <v>#REF!</v>
      </c>
      <c r="T37" s="101" t="e">
        <f t="shared" si="0"/>
        <v>#REF!</v>
      </c>
      <c r="U37" s="2" t="s">
        <v>427</v>
      </c>
      <c r="W37" s="82">
        <f>SUMIFS(РегСкидка!$C$3:$C$619,РегСкидка!$D$3:$D$619,"Рязань",РегСкидка!$B$3:$B$619,U37,РегСкидка!$E$3:$E$619,$W$7)/100*IF($W$3=5,1,0)</f>
        <v>0</v>
      </c>
      <c r="X37" s="82"/>
      <c r="Y37" s="2"/>
      <c r="Z37" s="2"/>
    </row>
    <row r="38" spans="1:26" ht="22.5" customHeight="1" x14ac:dyDescent="0.25">
      <c r="A38" s="1246"/>
      <c r="B38" s="12">
        <v>1200</v>
      </c>
      <c r="C38" s="13">
        <v>600</v>
      </c>
      <c r="D38" s="14">
        <v>120</v>
      </c>
      <c r="E38" s="112">
        <v>78.125</v>
      </c>
      <c r="F38" s="112">
        <v>11.302806712962962</v>
      </c>
      <c r="G38" s="214" t="s">
        <v>222</v>
      </c>
      <c r="H38" s="607" t="s">
        <v>46</v>
      </c>
      <c r="I38" s="596">
        <v>82.944000000000017</v>
      </c>
      <c r="J38" s="197">
        <v>269.56800000000004</v>
      </c>
      <c r="K38" s="47">
        <v>2</v>
      </c>
      <c r="L38" s="181">
        <v>1.4400000000000002</v>
      </c>
      <c r="M38" s="198">
        <v>0.17280000000000001</v>
      </c>
      <c r="N38" s="47">
        <v>40</v>
      </c>
      <c r="O38" s="182">
        <v>6.9120000000000008</v>
      </c>
      <c r="P38" s="192">
        <v>76.032000000000011</v>
      </c>
      <c r="Q38" s="48"/>
      <c r="R38" s="88" t="e">
        <f t="shared" si="1"/>
        <v>#REF!</v>
      </c>
      <c r="S38" s="99" t="e">
        <f>ДВОЙНОЙ!R38*(1-$W$5-W38)+IFERROR(SEARCH("комп",ДвойнойDDP!J38)/SEARCH("комп",ДвойнойDDP!J38)*ДвойнойDDP!$S$5,ДвойнойDDP!$T$5)</f>
        <v>#REF!</v>
      </c>
      <c r="T38" s="101" t="e">
        <f t="shared" si="0"/>
        <v>#REF!</v>
      </c>
      <c r="U38" s="2" t="s">
        <v>427</v>
      </c>
      <c r="W38" s="82">
        <f>SUMIFS(РегСкидка!$C$3:$C$619,РегСкидка!$D$3:$D$619,"Рязань",РегСкидка!$B$3:$B$619,U38,РегСкидка!$E$3:$E$619,$W$7)/100*IF($W$3=5,1,0)</f>
        <v>0</v>
      </c>
      <c r="X38" s="82"/>
      <c r="Y38" s="2"/>
      <c r="Z38" s="2"/>
    </row>
    <row r="39" spans="1:26" ht="22.5" customHeight="1" x14ac:dyDescent="0.25">
      <c r="A39" s="1246"/>
      <c r="B39" s="12">
        <v>1200</v>
      </c>
      <c r="C39" s="13">
        <v>600</v>
      </c>
      <c r="D39" s="14">
        <v>130</v>
      </c>
      <c r="E39" s="112">
        <v>79.365079365079367</v>
      </c>
      <c r="F39" s="112">
        <v>11.776632147002518</v>
      </c>
      <c r="G39" s="216" t="s">
        <v>276</v>
      </c>
      <c r="H39" s="607" t="s">
        <v>46</v>
      </c>
      <c r="I39" s="596">
        <v>80.870400000000004</v>
      </c>
      <c r="J39" s="197">
        <v>262.8288</v>
      </c>
      <c r="K39" s="47">
        <v>2</v>
      </c>
      <c r="L39" s="181">
        <v>1.4400000000000002</v>
      </c>
      <c r="M39" s="198">
        <v>0.18720000000000001</v>
      </c>
      <c r="N39" s="47">
        <v>36</v>
      </c>
      <c r="O39" s="182">
        <v>6.7392000000000003</v>
      </c>
      <c r="P39" s="192">
        <v>74.131200000000007</v>
      </c>
      <c r="Q39" s="48"/>
      <c r="R39" s="88" t="e">
        <f t="shared" si="1"/>
        <v>#REF!</v>
      </c>
      <c r="S39" s="99" t="e">
        <f>ДВОЙНОЙ!R39*(1-$W$5-W39)+IFERROR(SEARCH("комп",ДвойнойDDP!J39)/SEARCH("комп",ДвойнойDDP!J39)*ДвойнойDDP!$S$5,ДвойнойDDP!$T$5)</f>
        <v>#REF!</v>
      </c>
      <c r="T39" s="101" t="e">
        <f t="shared" si="0"/>
        <v>#REF!</v>
      </c>
      <c r="U39" s="2" t="s">
        <v>427</v>
      </c>
      <c r="W39" s="82">
        <f>SUMIFS(РегСкидка!$C$3:$C$619,РегСкидка!$D$3:$D$619,"Рязань",РегСкидка!$B$3:$B$619,U39,РегСкидка!$E$3:$E$619,$W$7)/100*IF($W$3=5,1,0)</f>
        <v>0</v>
      </c>
      <c r="X39" s="82"/>
      <c r="Y39" s="2"/>
      <c r="Z39" s="2"/>
    </row>
    <row r="40" spans="1:26" ht="22.5" customHeight="1" x14ac:dyDescent="0.25">
      <c r="A40" s="1246"/>
      <c r="B40" s="12">
        <v>1200</v>
      </c>
      <c r="C40" s="13">
        <v>600</v>
      </c>
      <c r="D40" s="14">
        <v>140</v>
      </c>
      <c r="E40" s="112">
        <v>80</v>
      </c>
      <c r="F40" s="112">
        <v>12.40079365079365</v>
      </c>
      <c r="G40" s="217" t="s">
        <v>223</v>
      </c>
      <c r="H40" s="607" t="s">
        <v>46</v>
      </c>
      <c r="I40" s="596">
        <v>83.865600000000001</v>
      </c>
      <c r="J40" s="197">
        <v>251.5968</v>
      </c>
      <c r="K40" s="47">
        <v>2</v>
      </c>
      <c r="L40" s="181">
        <v>1.4400000000000002</v>
      </c>
      <c r="M40" s="198">
        <v>0.2016</v>
      </c>
      <c r="N40" s="47">
        <v>32</v>
      </c>
      <c r="O40" s="182">
        <v>6.4512</v>
      </c>
      <c r="P40" s="192">
        <v>70.963200000000001</v>
      </c>
      <c r="Q40" s="48"/>
      <c r="R40" s="88" t="e">
        <f t="shared" si="1"/>
        <v>#REF!</v>
      </c>
      <c r="S40" s="99" t="e">
        <f>ДВОЙНОЙ!R40*(1-$W$5-W40)+IFERROR(SEARCH("комп",ДвойнойDDP!J40)/SEARCH("комп",ДвойнойDDP!J40)*ДвойнойDDP!$S$5,ДвойнойDDP!$T$5)</f>
        <v>#REF!</v>
      </c>
      <c r="T40" s="101" t="e">
        <f t="shared" si="0"/>
        <v>#REF!</v>
      </c>
      <c r="U40" s="2" t="s">
        <v>427</v>
      </c>
      <c r="W40" s="82">
        <f>SUMIFS(РегСкидка!$C$3:$C$619,РегСкидка!$D$3:$D$619,"Рязань",РегСкидка!$B$3:$B$619,U40,РегСкидка!$E$3:$E$619,$W$7)/100*IF($W$3=5,1,0)</f>
        <v>0</v>
      </c>
      <c r="X40" s="82"/>
      <c r="Y40" s="2"/>
      <c r="Z40" s="2"/>
    </row>
    <row r="41" spans="1:26" ht="22.5" customHeight="1" x14ac:dyDescent="0.25">
      <c r="A41" s="1246"/>
      <c r="B41" s="12">
        <v>1200</v>
      </c>
      <c r="C41" s="13">
        <v>600</v>
      </c>
      <c r="D41" s="14">
        <v>150</v>
      </c>
      <c r="E41" s="112">
        <v>80.645161290322577</v>
      </c>
      <c r="F41" s="112">
        <v>11.667413381123058</v>
      </c>
      <c r="G41" s="214" t="s">
        <v>224</v>
      </c>
      <c r="H41" s="607" t="s">
        <v>46</v>
      </c>
      <c r="I41" s="596">
        <v>82.944000000000003</v>
      </c>
      <c r="J41" s="197">
        <v>269.56799999999998</v>
      </c>
      <c r="K41" s="47">
        <v>2</v>
      </c>
      <c r="L41" s="181">
        <v>1.4400000000000002</v>
      </c>
      <c r="M41" s="198">
        <v>0.216</v>
      </c>
      <c r="N41" s="47">
        <v>32</v>
      </c>
      <c r="O41" s="182">
        <v>6.9119999999999999</v>
      </c>
      <c r="P41" s="192">
        <v>76.031999999999996</v>
      </c>
      <c r="Q41" s="48"/>
      <c r="R41" s="88" t="e">
        <f t="shared" si="1"/>
        <v>#REF!</v>
      </c>
      <c r="S41" s="99" t="e">
        <f>ДВОЙНОЙ!R41*(1-$W$5-W41)+IFERROR(SEARCH("комп",ДвойнойDDP!J41)/SEARCH("комп",ДвойнойDDP!J41)*ДвойнойDDP!$S$5,ДвойнойDDP!$T$5)</f>
        <v>#REF!</v>
      </c>
      <c r="T41" s="101" t="e">
        <f t="shared" si="0"/>
        <v>#REF!</v>
      </c>
      <c r="U41" s="2" t="s">
        <v>427</v>
      </c>
      <c r="W41" s="82">
        <f>SUMIFS(РегСкидка!$C$3:$C$619,РегСкидка!$D$3:$D$619,"Рязань",РегСкидка!$B$3:$B$619,U41,РегСкидка!$E$3:$E$619,$W$7)/100*IF($W$3=5,1,0)</f>
        <v>0</v>
      </c>
      <c r="X41" s="82"/>
      <c r="Y41" s="2"/>
      <c r="Z41" s="2"/>
    </row>
    <row r="42" spans="1:26" ht="22.5" customHeight="1" x14ac:dyDescent="0.25">
      <c r="A42" s="1246"/>
      <c r="B42" s="12">
        <v>1200</v>
      </c>
      <c r="C42" s="13">
        <v>600</v>
      </c>
      <c r="D42" s="14">
        <v>160</v>
      </c>
      <c r="E42" s="112">
        <v>81.300813008130078</v>
      </c>
      <c r="F42" s="112">
        <v>12.602432571944766</v>
      </c>
      <c r="G42" s="214" t="s">
        <v>280</v>
      </c>
      <c r="H42" s="607" t="s">
        <v>46</v>
      </c>
      <c r="I42" s="596">
        <v>83.865600000000001</v>
      </c>
      <c r="J42" s="197">
        <v>251.5968</v>
      </c>
      <c r="K42" s="47">
        <v>2</v>
      </c>
      <c r="L42" s="181">
        <v>1.44</v>
      </c>
      <c r="M42" s="198">
        <v>0.23039999999999999</v>
      </c>
      <c r="N42" s="47">
        <v>28</v>
      </c>
      <c r="O42" s="182">
        <v>6.4512</v>
      </c>
      <c r="P42" s="192">
        <v>70.963200000000001</v>
      </c>
      <c r="Q42" s="48"/>
      <c r="R42" s="88" t="e">
        <f t="shared" si="1"/>
        <v>#REF!</v>
      </c>
      <c r="S42" s="99" t="e">
        <f>ДВОЙНОЙ!R42*(1-$W$5-W42)+IFERROR(SEARCH("комп",ДвойнойDDP!J42)/SEARCH("комп",ДвойнойDDP!J42)*ДвойнойDDP!$S$5,ДвойнойDDP!$T$5)</f>
        <v>#REF!</v>
      </c>
      <c r="T42" s="101" t="e">
        <f t="shared" si="0"/>
        <v>#REF!</v>
      </c>
      <c r="U42" s="2" t="s">
        <v>427</v>
      </c>
      <c r="W42" s="82">
        <f>SUMIFS(РегСкидка!$C$3:$C$619,РегСкидка!$D$3:$D$619,"Рязань",РегСкидка!$B$3:$B$619,U42,РегСкидка!$E$3:$E$619,$W$7)/100*IF($W$3=5,1,0)</f>
        <v>0</v>
      </c>
      <c r="X42" s="82"/>
      <c r="Y42" s="2"/>
      <c r="Z42" s="2"/>
    </row>
    <row r="43" spans="1:26" ht="22.5" customHeight="1" x14ac:dyDescent="0.25">
      <c r="A43" s="1246"/>
      <c r="B43" s="12">
        <v>1200</v>
      </c>
      <c r="C43" s="13">
        <v>600</v>
      </c>
      <c r="D43" s="14">
        <v>170</v>
      </c>
      <c r="E43" s="112">
        <v>81.967213114754102</v>
      </c>
      <c r="F43" s="112">
        <v>11.958335246666973</v>
      </c>
      <c r="G43" s="214" t="s">
        <v>279</v>
      </c>
      <c r="H43" s="607" t="s">
        <v>46</v>
      </c>
      <c r="I43" s="596">
        <v>82.252800000000008</v>
      </c>
      <c r="J43" s="197">
        <v>267.32159999999999</v>
      </c>
      <c r="K43" s="47">
        <v>2</v>
      </c>
      <c r="L43" s="181">
        <v>1.44</v>
      </c>
      <c r="M43" s="198">
        <v>0.24479999999999999</v>
      </c>
      <c r="N43" s="47">
        <v>28</v>
      </c>
      <c r="O43" s="182">
        <v>6.8544</v>
      </c>
      <c r="P43" s="192">
        <v>75.398399999999995</v>
      </c>
      <c r="Q43" s="48"/>
      <c r="R43" s="88" t="e">
        <f t="shared" si="1"/>
        <v>#REF!</v>
      </c>
      <c r="S43" s="99" t="e">
        <f>ДВОЙНОЙ!R43*(1-$W$5-W43)+IFERROR(SEARCH("комп",ДвойнойDDP!J43)/SEARCH("комп",ДвойнойDDP!J43)*ДвойнойDDP!$S$5,ДвойнойDDP!$T$5)</f>
        <v>#REF!</v>
      </c>
      <c r="T43" s="101" t="e">
        <f t="shared" si="0"/>
        <v>#REF!</v>
      </c>
      <c r="U43" s="2" t="s">
        <v>427</v>
      </c>
      <c r="W43" s="82">
        <f>SUMIFS(РегСкидка!$C$3:$C$619,РегСкидка!$D$3:$D$619,"Рязань",РегСкидка!$B$3:$B$619,U43,РегСкидка!$E$3:$E$619,$W$7)/100*IF($W$3=5,1,0)</f>
        <v>0</v>
      </c>
      <c r="X43" s="82"/>
      <c r="Y43" s="2"/>
      <c r="Z43" s="2"/>
    </row>
    <row r="44" spans="1:26" ht="22.5" customHeight="1" x14ac:dyDescent="0.25">
      <c r="A44" s="1246"/>
      <c r="B44" s="12">
        <v>1200</v>
      </c>
      <c r="C44" s="13">
        <v>600</v>
      </c>
      <c r="D44" s="14">
        <v>180</v>
      </c>
      <c r="E44" s="112">
        <v>81.967213114754102</v>
      </c>
      <c r="F44" s="112">
        <v>13.176313836605276</v>
      </c>
      <c r="G44" s="214" t="s">
        <v>278</v>
      </c>
      <c r="H44" s="607" t="s">
        <v>46</v>
      </c>
      <c r="I44" s="596">
        <v>87.091200000000001</v>
      </c>
      <c r="J44" s="197">
        <v>242.61119999999997</v>
      </c>
      <c r="K44" s="47">
        <v>2</v>
      </c>
      <c r="L44" s="181">
        <v>1.44</v>
      </c>
      <c r="M44" s="198">
        <v>0.25919999999999999</v>
      </c>
      <c r="N44" s="47">
        <v>24</v>
      </c>
      <c r="O44" s="182">
        <v>6.2207999999999997</v>
      </c>
      <c r="P44" s="192">
        <v>68.428799999999995</v>
      </c>
      <c r="Q44" s="48"/>
      <c r="R44" s="88" t="e">
        <f t="shared" si="1"/>
        <v>#REF!</v>
      </c>
      <c r="S44" s="99" t="e">
        <f>ДВОЙНОЙ!R44*(1-$W$5-W44)+IFERROR(SEARCH("комп",ДвойнойDDP!J44)/SEARCH("комп",ДвойнойDDP!J44)*ДвойнойDDP!$S$5,ДвойнойDDP!$T$5)</f>
        <v>#REF!</v>
      </c>
      <c r="T44" s="101" t="e">
        <f t="shared" si="0"/>
        <v>#REF!</v>
      </c>
      <c r="U44" s="2" t="s">
        <v>427</v>
      </c>
      <c r="W44" s="82">
        <f>SUMIFS(РегСкидка!$C$3:$C$619,РегСкидка!$D$3:$D$619,"Рязань",РегСкидка!$B$3:$B$619,U44,РегСкидка!$E$3:$E$619,$W$7)/100*IF($W$3=5,1,0)</f>
        <v>0</v>
      </c>
      <c r="X44" s="82"/>
      <c r="Y44" s="2"/>
      <c r="Z44" s="2"/>
    </row>
    <row r="45" spans="1:26" ht="22.5" customHeight="1" x14ac:dyDescent="0.25">
      <c r="A45" s="1246"/>
      <c r="B45" s="12">
        <v>1200</v>
      </c>
      <c r="C45" s="13">
        <v>600</v>
      </c>
      <c r="D45" s="14">
        <v>190</v>
      </c>
      <c r="E45" s="112">
        <v>82.644628099173559</v>
      </c>
      <c r="F45" s="112">
        <v>12.585987466370243</v>
      </c>
      <c r="G45" s="214" t="s">
        <v>277</v>
      </c>
      <c r="H45" s="607" t="s">
        <v>46</v>
      </c>
      <c r="I45" s="596">
        <v>85.363199999999992</v>
      </c>
      <c r="J45" s="197">
        <v>256.08959999999996</v>
      </c>
      <c r="K45" s="47">
        <v>2</v>
      </c>
      <c r="L45" s="181">
        <v>1.4400000000000002</v>
      </c>
      <c r="M45" s="198">
        <v>0.27360000000000001</v>
      </c>
      <c r="N45" s="47">
        <v>24</v>
      </c>
      <c r="O45" s="182">
        <v>6.5663999999999998</v>
      </c>
      <c r="P45" s="192">
        <v>72.230400000000003</v>
      </c>
      <c r="Q45" s="48"/>
      <c r="R45" s="88" t="e">
        <f t="shared" si="1"/>
        <v>#REF!</v>
      </c>
      <c r="S45" s="99" t="e">
        <f>ДВОЙНОЙ!R45*(1-$W$5-W45)+IFERROR(SEARCH("комп",ДвойнойDDP!J45)/SEARCH("комп",ДвойнойDDP!J45)*ДвойнойDDP!$S$5,ДвойнойDDP!$T$5)</f>
        <v>#REF!</v>
      </c>
      <c r="T45" s="101" t="e">
        <f t="shared" si="0"/>
        <v>#REF!</v>
      </c>
      <c r="U45" s="2" t="s">
        <v>427</v>
      </c>
      <c r="W45" s="82">
        <f>SUMIFS(РегСкидка!$C$3:$C$619,РегСкидка!$D$3:$D$619,"Рязань",РегСкидка!$B$3:$B$619,U45,РегСкидка!$E$3:$E$619,$W$7)/100*IF($W$3=5,1,0)</f>
        <v>0</v>
      </c>
      <c r="X45" s="82"/>
      <c r="Y45" s="2"/>
      <c r="Z45" s="2"/>
    </row>
    <row r="46" spans="1:26" ht="22.5" customHeight="1" thickBot="1" x14ac:dyDescent="0.3">
      <c r="A46" s="1247"/>
      <c r="B46" s="15">
        <v>1200</v>
      </c>
      <c r="C46" s="16">
        <v>600</v>
      </c>
      <c r="D46" s="17">
        <v>200</v>
      </c>
      <c r="E46" s="63">
        <v>82.644628099173559</v>
      </c>
      <c r="F46" s="112">
        <v>11.956688093051731</v>
      </c>
      <c r="G46" s="218" t="s">
        <v>225</v>
      </c>
      <c r="H46" s="621" t="s">
        <v>46</v>
      </c>
      <c r="I46" s="597">
        <v>82.943999999999988</v>
      </c>
      <c r="J46" s="446">
        <v>269.56799999999998</v>
      </c>
      <c r="K46" s="49">
        <v>1</v>
      </c>
      <c r="L46" s="183">
        <v>0.72</v>
      </c>
      <c r="M46" s="189">
        <v>0.14399999999999999</v>
      </c>
      <c r="N46" s="49">
        <v>48</v>
      </c>
      <c r="O46" s="184">
        <v>6.911999999999999</v>
      </c>
      <c r="P46" s="195">
        <v>76.031999999999982</v>
      </c>
      <c r="Q46" s="50"/>
      <c r="R46" s="479" t="e">
        <f t="shared" si="1"/>
        <v>#REF!</v>
      </c>
      <c r="S46" s="90" t="e">
        <f>ДВОЙНОЙ!R46*(1-$W$5-W46)+IFERROR(SEARCH("комп",ДвойнойDDP!J46)/SEARCH("комп",ДвойнойDDP!J46)*ДвойнойDDP!$S$5,ДвойнойDDP!$T$5)</f>
        <v>#REF!</v>
      </c>
      <c r="T46" s="102" t="e">
        <f t="shared" si="0"/>
        <v>#REF!</v>
      </c>
      <c r="U46" s="2" t="s">
        <v>427</v>
      </c>
      <c r="W46" s="82">
        <f>SUMIFS(РегСкидка!$C$3:$C$619,РегСкидка!$D$3:$D$619,"Рязань",РегСкидка!$B$3:$B$619,U46,РегСкидка!$E$3:$E$619,$W$7)/100*IF($W$3=5,1,0)</f>
        <v>0</v>
      </c>
      <c r="X46" s="82"/>
      <c r="Y46" s="2"/>
      <c r="Z46" s="2"/>
    </row>
    <row r="47" spans="1:26" ht="20.100000000000001" customHeight="1" x14ac:dyDescent="0.25">
      <c r="A47" s="18"/>
      <c r="W47" s="82"/>
    </row>
    <row r="48" spans="1:26" ht="18.75" customHeight="1" x14ac:dyDescent="0.25">
      <c r="A48" s="1" t="s">
        <v>7</v>
      </c>
      <c r="E48" s="2"/>
      <c r="F48" s="2"/>
      <c r="G48" s="2"/>
      <c r="H48" s="2"/>
      <c r="I48" s="2"/>
      <c r="J48" s="2"/>
      <c r="P48" s="1275" t="s">
        <v>21</v>
      </c>
      <c r="Q48" s="1275"/>
      <c r="R48" s="1275"/>
      <c r="S48" s="1275"/>
      <c r="T48" s="1275"/>
      <c r="W48" s="82"/>
      <c r="X48" s="82"/>
      <c r="Y48" s="2"/>
      <c r="Z48" s="2"/>
    </row>
    <row r="49" spans="1:26" s="32" customFormat="1" ht="20.100000000000001" customHeight="1" x14ac:dyDescent="0.25">
      <c r="A49" s="471" t="s">
        <v>423</v>
      </c>
      <c r="K49" s="33"/>
      <c r="M49" s="34"/>
      <c r="N49" s="33"/>
      <c r="O49" s="59"/>
      <c r="P49" s="1244" t="s">
        <v>40</v>
      </c>
      <c r="Q49" s="1244"/>
      <c r="R49" s="1244"/>
      <c r="S49" s="1244"/>
      <c r="T49" s="1244"/>
      <c r="V49" s="82"/>
      <c r="W49" s="82"/>
      <c r="X49" s="84"/>
    </row>
    <row r="50" spans="1:26" ht="20.100000000000001" customHeight="1" x14ac:dyDescent="0.25">
      <c r="A50" s="26" t="s">
        <v>438</v>
      </c>
      <c r="E50" s="2"/>
      <c r="F50" s="2"/>
      <c r="G50" s="2"/>
      <c r="H50" s="2"/>
      <c r="I50" s="2"/>
      <c r="J50" s="2"/>
      <c r="P50" s="1244" t="s">
        <v>39</v>
      </c>
      <c r="Q50" s="1244"/>
      <c r="R50" s="1244"/>
      <c r="S50" s="1244"/>
      <c r="T50" s="1244"/>
      <c r="W50" s="82"/>
      <c r="X50" s="82"/>
      <c r="Y50" s="2"/>
      <c r="Z50" s="2"/>
    </row>
    <row r="51" spans="1:26" ht="20.100000000000001" customHeight="1" x14ac:dyDescent="0.25">
      <c r="A51" s="26" t="s">
        <v>24</v>
      </c>
      <c r="E51" s="2"/>
      <c r="F51" s="2"/>
      <c r="G51" s="2"/>
      <c r="H51" s="2"/>
      <c r="I51" s="2"/>
      <c r="J51" s="2"/>
      <c r="P51" s="1245" t="s">
        <v>37</v>
      </c>
      <c r="Q51" s="1245"/>
      <c r="R51" s="1245"/>
      <c r="S51" s="1245"/>
      <c r="T51" s="1245"/>
      <c r="W51" s="82"/>
      <c r="X51" s="82"/>
      <c r="Y51" s="2"/>
      <c r="Z51" s="2"/>
    </row>
    <row r="52" spans="1:26" ht="20.100000000000001" customHeight="1" x14ac:dyDescent="0.25">
      <c r="A52" s="26" t="s">
        <v>52</v>
      </c>
      <c r="E52" s="2"/>
      <c r="F52" s="2"/>
      <c r="G52" s="2"/>
      <c r="H52" s="2"/>
      <c r="I52" s="2"/>
      <c r="J52" s="2"/>
      <c r="R52" s="1245" t="s">
        <v>38</v>
      </c>
      <c r="S52" s="1245"/>
      <c r="T52" s="1245"/>
      <c r="U52" s="74"/>
      <c r="W52" s="82"/>
      <c r="X52" s="82"/>
      <c r="Y52" s="2"/>
      <c r="Z52" s="2"/>
    </row>
    <row r="53" spans="1:26" ht="20.100000000000001" customHeight="1" x14ac:dyDescent="0.25">
      <c r="A53" s="30" t="s">
        <v>457</v>
      </c>
      <c r="E53" s="2"/>
      <c r="F53" s="4"/>
      <c r="G53" s="2"/>
      <c r="H53" s="2"/>
      <c r="I53" s="2"/>
      <c r="J53" s="5"/>
      <c r="L53" s="56"/>
      <c r="W53" s="82"/>
      <c r="X53" s="82"/>
      <c r="Y53" s="2"/>
      <c r="Z53" s="2"/>
    </row>
    <row r="54" spans="1:26" ht="20.100000000000001" customHeight="1" x14ac:dyDescent="0.25">
      <c r="A54" s="30" t="s">
        <v>458</v>
      </c>
      <c r="E54" s="2"/>
      <c r="F54" s="4"/>
      <c r="G54" s="2"/>
      <c r="H54" s="2"/>
      <c r="I54" s="2"/>
      <c r="J54" s="5"/>
      <c r="L54" s="56"/>
      <c r="W54" s="82"/>
      <c r="X54" s="82"/>
      <c r="Y54" s="2"/>
      <c r="Z54" s="2"/>
    </row>
    <row r="55" spans="1:26" ht="20.100000000000001" customHeight="1" x14ac:dyDescent="0.25">
      <c r="A55" s="30" t="s">
        <v>241</v>
      </c>
      <c r="E55" s="2"/>
      <c r="F55" s="4"/>
      <c r="G55" s="2"/>
      <c r="H55" s="2"/>
      <c r="I55" s="2"/>
      <c r="J55" s="5"/>
      <c r="L55" s="56"/>
      <c r="W55" s="82"/>
      <c r="X55" s="82"/>
      <c r="Y55" s="2"/>
      <c r="Z55" s="2"/>
    </row>
    <row r="56" spans="1:26" ht="20.100000000000001" customHeight="1" x14ac:dyDescent="0.25">
      <c r="A56" s="30"/>
      <c r="E56" s="4"/>
      <c r="F56" s="2"/>
      <c r="G56" s="2"/>
      <c r="H56" s="2"/>
      <c r="I56" s="2"/>
      <c r="J56" s="5"/>
      <c r="L56" s="56"/>
      <c r="W56" s="82"/>
      <c r="X56" s="82"/>
      <c r="Y56" s="2"/>
      <c r="Z56" s="2"/>
    </row>
    <row r="57" spans="1:26" ht="20.100000000000001" customHeight="1" x14ac:dyDescent="0.25">
      <c r="A57" s="30"/>
      <c r="E57" s="4"/>
      <c r="F57" s="2"/>
      <c r="G57" s="2"/>
      <c r="H57" s="2"/>
      <c r="I57" s="2"/>
      <c r="J57" s="5"/>
      <c r="L57" s="56"/>
      <c r="W57" s="82"/>
      <c r="X57" s="82"/>
      <c r="Y57" s="2"/>
      <c r="Z57" s="2"/>
    </row>
    <row r="58" spans="1:26" ht="20.100000000000001" customHeight="1" x14ac:dyDescent="0.25">
      <c r="E58" s="2"/>
      <c r="F58" s="2"/>
      <c r="G58" s="2"/>
      <c r="H58" s="2"/>
      <c r="I58" s="2"/>
      <c r="J58" s="2"/>
      <c r="W58" s="82"/>
      <c r="X58" s="82"/>
      <c r="Y58" s="2"/>
      <c r="Z58" s="2"/>
    </row>
    <row r="59" spans="1:26" ht="19.5" customHeight="1" x14ac:dyDescent="0.25">
      <c r="A59" s="2"/>
      <c r="E59" s="2"/>
      <c r="F59" s="2"/>
      <c r="G59" s="2"/>
      <c r="H59" s="2"/>
      <c r="I59" s="2"/>
      <c r="J59" s="2"/>
      <c r="W59" s="82"/>
      <c r="X59" s="82"/>
      <c r="Y59" s="2"/>
      <c r="Z59" s="2"/>
    </row>
    <row r="60" spans="1:26" ht="20.100000000000001" customHeight="1" x14ac:dyDescent="0.25">
      <c r="A60" s="2"/>
      <c r="E60" s="2"/>
      <c r="F60" s="2"/>
      <c r="G60" s="2"/>
      <c r="H60" s="2"/>
      <c r="I60" s="2"/>
      <c r="J60" s="2"/>
      <c r="W60" s="82"/>
      <c r="X60" s="82"/>
      <c r="Y60" s="2"/>
      <c r="Z60" s="2"/>
    </row>
    <row r="61" spans="1:26" ht="20.100000000000001" customHeight="1" x14ac:dyDescent="0.25">
      <c r="A61" s="2"/>
      <c r="C61" s="19"/>
      <c r="D61" s="20"/>
      <c r="E61" s="20"/>
      <c r="F61" s="20"/>
      <c r="G61" s="20"/>
      <c r="H61" s="20"/>
      <c r="I61" s="20"/>
      <c r="J61" s="20"/>
      <c r="K61" s="21"/>
      <c r="L61" s="20"/>
      <c r="M61" s="22"/>
      <c r="N61" s="69"/>
      <c r="O61" s="60"/>
      <c r="P61" s="20"/>
      <c r="Q61" s="22"/>
      <c r="R61" s="22"/>
      <c r="S61" s="22"/>
      <c r="T61" s="22"/>
      <c r="W61" s="82"/>
      <c r="X61" s="82"/>
      <c r="Y61" s="2"/>
      <c r="Z61" s="2"/>
    </row>
    <row r="62" spans="1:26" ht="20.100000000000001" customHeight="1" x14ac:dyDescent="0.25">
      <c r="C62" s="23"/>
      <c r="D62" s="20"/>
      <c r="E62" s="20"/>
      <c r="F62" s="20"/>
      <c r="G62" s="20"/>
      <c r="H62" s="20"/>
      <c r="I62" s="20"/>
      <c r="J62" s="20"/>
      <c r="K62" s="21"/>
      <c r="L62" s="20"/>
      <c r="M62" s="24"/>
      <c r="N62" s="70"/>
      <c r="O62" s="60"/>
      <c r="P62" s="20"/>
      <c r="Q62" s="24"/>
      <c r="R62" s="24"/>
      <c r="S62" s="24"/>
      <c r="T62" s="24"/>
      <c r="W62" s="82"/>
      <c r="X62" s="82"/>
      <c r="Y62" s="2"/>
      <c r="Z62" s="2"/>
    </row>
    <row r="63" spans="1:26" ht="20.100000000000001" customHeight="1" x14ac:dyDescent="0.25">
      <c r="C63" s="23"/>
      <c r="D63" s="20"/>
      <c r="E63" s="20"/>
      <c r="F63" s="20"/>
      <c r="G63" s="20"/>
      <c r="H63" s="20"/>
      <c r="I63" s="20"/>
      <c r="J63" s="20"/>
      <c r="K63" s="21"/>
      <c r="L63" s="20"/>
      <c r="M63" s="24"/>
      <c r="N63" s="70"/>
      <c r="O63" s="60"/>
      <c r="P63" s="20"/>
      <c r="Q63" s="24"/>
      <c r="R63" s="24"/>
      <c r="S63" s="24"/>
      <c r="T63" s="24"/>
      <c r="W63" s="82"/>
      <c r="X63" s="82"/>
      <c r="Y63" s="2"/>
      <c r="Z63" s="2"/>
    </row>
    <row r="64" spans="1:26" x14ac:dyDescent="0.25">
      <c r="W64" s="82"/>
    </row>
    <row r="65" spans="2:23" x14ac:dyDescent="0.25">
      <c r="B65" s="25"/>
      <c r="W65" s="82"/>
    </row>
    <row r="66" spans="2:23" x14ac:dyDescent="0.25">
      <c r="W66" s="82"/>
    </row>
    <row r="67" spans="2:23" x14ac:dyDescent="0.25">
      <c r="W67" s="82"/>
    </row>
    <row r="68" spans="2:23" x14ac:dyDescent="0.25">
      <c r="W68" s="82"/>
    </row>
    <row r="71" spans="2:23" x14ac:dyDescent="0.25">
      <c r="V71" s="84"/>
      <c r="W71" s="32"/>
    </row>
  </sheetData>
  <mergeCells count="22">
    <mergeCell ref="R52:T52"/>
    <mergeCell ref="A22:A33"/>
    <mergeCell ref="P48:T48"/>
    <mergeCell ref="P49:T49"/>
    <mergeCell ref="P50:T50"/>
    <mergeCell ref="P51:T51"/>
    <mergeCell ref="A35:A46"/>
    <mergeCell ref="A4:T4"/>
    <mergeCell ref="A6:A7"/>
    <mergeCell ref="B6:B7"/>
    <mergeCell ref="C6:C7"/>
    <mergeCell ref="D6:D7"/>
    <mergeCell ref="E6:E7"/>
    <mergeCell ref="G6:G7"/>
    <mergeCell ref="R6:T6"/>
    <mergeCell ref="P6:Q6"/>
    <mergeCell ref="H6:H7"/>
    <mergeCell ref="A9:A20"/>
    <mergeCell ref="J6:J7"/>
    <mergeCell ref="K6:M6"/>
    <mergeCell ref="N6:O6"/>
    <mergeCell ref="I6:I7"/>
  </mergeCells>
  <phoneticPr fontId="65" type="noConversion"/>
  <hyperlinks>
    <hyperlink ref="P51" r:id="rId1"/>
    <hyperlink ref="R52" r:id="rId2"/>
  </hyperlinks>
  <printOptions horizontalCentered="1"/>
  <pageMargins left="0.19685039370078741" right="0.19685039370078741" top="0.39370078740157483" bottom="0" header="0" footer="0"/>
  <pageSetup paperSize="9" scale="40" orientation="portrait" verticalDpi="1"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41988" r:id="rId6" name="Drop Down 4">
              <controlPr defaultSize="0" autoLine="0" autoPict="0">
                <anchor moveWithCells="1">
                  <from>
                    <xdr:col>14</xdr:col>
                    <xdr:colOff>733425</xdr:colOff>
                    <xdr:row>0</xdr:row>
                    <xdr:rowOff>104775</xdr:rowOff>
                  </from>
                  <to>
                    <xdr:col>18</xdr:col>
                    <xdr:colOff>314325</xdr:colOff>
                    <xdr:row>1</xdr:row>
                    <xdr:rowOff>142875</xdr:rowOff>
                  </to>
                </anchor>
              </controlPr>
            </control>
          </mc:Choice>
        </mc:AlternateContent>
        <mc:AlternateContent xmlns:mc="http://schemas.openxmlformats.org/markup-compatibility/2006">
          <mc:Choice Requires="x14">
            <control shapeId="41990" r:id="rId7" name="Drop Down 6">
              <controlPr defaultSize="0" autoLine="0" autoPict="0">
                <anchor moveWithCells="1">
                  <from>
                    <xdr:col>15</xdr:col>
                    <xdr:colOff>304800</xdr:colOff>
                    <xdr:row>1</xdr:row>
                    <xdr:rowOff>219075</xdr:rowOff>
                  </from>
                  <to>
                    <xdr:col>16</xdr:col>
                    <xdr:colOff>657225</xdr:colOff>
                    <xdr:row>2</xdr:row>
                    <xdr:rowOff>228600</xdr:rowOff>
                  </to>
                </anchor>
              </controlPr>
            </control>
          </mc:Choice>
        </mc:AlternateContent>
        <mc:AlternateContent xmlns:mc="http://schemas.openxmlformats.org/markup-compatibility/2006">
          <mc:Choice Requires="x14">
            <control shapeId="41991" r:id="rId8" name="Drop Down 7">
              <controlPr defaultSize="0" autoLine="0" autoPict="0">
                <anchor moveWithCells="1">
                  <from>
                    <xdr:col>17</xdr:col>
                    <xdr:colOff>85725</xdr:colOff>
                    <xdr:row>1</xdr:row>
                    <xdr:rowOff>219075</xdr:rowOff>
                  </from>
                  <to>
                    <xdr:col>18</xdr:col>
                    <xdr:colOff>276225</xdr:colOff>
                    <xdr:row>2</xdr:row>
                    <xdr:rowOff>228600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1">
    <tabColor rgb="FFFF0000"/>
    <pageSetUpPr fitToPage="1"/>
  </sheetPr>
  <dimension ref="A1:AD74"/>
  <sheetViews>
    <sheetView showGridLines="0" view="pageBreakPreview" zoomScale="70" zoomScaleNormal="100" zoomScaleSheetLayoutView="70" workbookViewId="0">
      <pane xSplit="1" ySplit="7" topLeftCell="B45" activePane="bottomRight" state="frozen"/>
      <selection sqref="A1:IV65536"/>
      <selection pane="topRight" sqref="A1:IV65536"/>
      <selection pane="bottomLeft" sqref="A1:IV65536"/>
      <selection pane="bottomRight" activeCell="P46" sqref="P46:T50"/>
    </sheetView>
  </sheetViews>
  <sheetFormatPr defaultColWidth="11.42578125" defaultRowHeight="18" x14ac:dyDescent="0.25"/>
  <cols>
    <col min="1" max="1" width="44.85546875" style="3" customWidth="1"/>
    <col min="2" max="4" width="9.7109375" style="2" customWidth="1"/>
    <col min="5" max="6" width="10.7109375" style="71" hidden="1" customWidth="1"/>
    <col min="7" max="7" width="16.28515625" style="71" customWidth="1"/>
    <col min="8" max="8" width="6.28515625" style="71" customWidth="1"/>
    <col min="9" max="9" width="12.28515625" style="71" customWidth="1"/>
    <col min="10" max="10" width="10.7109375" style="71" hidden="1" customWidth="1"/>
    <col min="11" max="11" width="11.5703125" style="4" customWidth="1"/>
    <col min="12" max="12" width="11.5703125" style="2" customWidth="1"/>
    <col min="13" max="13" width="11.5703125" style="5" customWidth="1"/>
    <col min="14" max="14" width="11.5703125" style="4" customWidth="1"/>
    <col min="15" max="15" width="11.5703125" style="56" customWidth="1"/>
    <col min="16" max="16" width="12.85546875" style="2" customWidth="1"/>
    <col min="17" max="17" width="13.42578125" style="5" customWidth="1"/>
    <col min="18" max="18" width="13.85546875" style="2" customWidth="1"/>
    <col min="19" max="19" width="13.5703125" style="2" customWidth="1"/>
    <col min="20" max="20" width="15.140625" style="2" customWidth="1"/>
    <col min="21" max="21" width="15.7109375" customWidth="1"/>
    <col min="22" max="22" width="15.140625" customWidth="1"/>
    <col min="23" max="23" width="15.85546875" customWidth="1"/>
    <col min="24" max="25" width="15.140625" style="2" customWidth="1"/>
    <col min="26" max="26" width="15.140625" style="745" customWidth="1"/>
    <col min="27" max="27" width="22.5703125" style="1035" customWidth="1"/>
    <col min="28" max="28" width="16.28515625" style="79" customWidth="1"/>
    <col min="29" max="29" width="11.42578125" customWidth="1"/>
    <col min="30" max="30" width="11.42578125" style="2" customWidth="1"/>
    <col min="31" max="16384" width="11.42578125" style="2"/>
  </cols>
  <sheetData>
    <row r="1" spans="1:29" ht="26.25" x14ac:dyDescent="0.4">
      <c r="A1" s="75" t="s">
        <v>19</v>
      </c>
      <c r="O1" s="137"/>
      <c r="P1" s="134"/>
      <c r="Q1" s="261"/>
      <c r="R1" s="134"/>
      <c r="S1" s="134"/>
      <c r="T1" s="134"/>
    </row>
    <row r="2" spans="1:29" s="27" customFormat="1" ht="26.25" x14ac:dyDescent="0.4">
      <c r="A2" s="75" t="s">
        <v>20</v>
      </c>
      <c r="E2" s="72"/>
      <c r="F2" s="72"/>
      <c r="G2" s="72"/>
      <c r="H2" s="72"/>
      <c r="I2" s="72"/>
      <c r="J2" s="72"/>
      <c r="K2" s="28"/>
      <c r="M2" s="29"/>
      <c r="N2" s="28"/>
      <c r="O2" s="558"/>
      <c r="P2" s="558"/>
      <c r="Q2" s="559"/>
      <c r="R2" s="558"/>
      <c r="S2" s="1134"/>
      <c r="T2" s="1134"/>
      <c r="Z2" s="1014"/>
      <c r="AA2" s="953"/>
      <c r="AB2" s="2"/>
    </row>
    <row r="3" spans="1:29" s="27" customFormat="1" ht="96.75" customHeight="1" x14ac:dyDescent="0.35">
      <c r="A3" s="791" t="str">
        <f>INDEX('Доставка по областям'!$A$2:$A$90,'ЛАЙТ Рязань'!Q5)</f>
        <v>Рязанская область</v>
      </c>
      <c r="B3" s="1373" t="str">
        <f>IFERROR(VLOOKUP(A3,'Доставка по областям'!$A$92:$B$104,2,0)," ")</f>
        <v xml:space="preserve"> </v>
      </c>
      <c r="C3" s="1373"/>
      <c r="D3" s="1373"/>
      <c r="E3" s="1373"/>
      <c r="F3" s="1373"/>
      <c r="G3" s="1373"/>
      <c r="H3" s="1373"/>
      <c r="I3" s="1373"/>
      <c r="J3" s="1373"/>
      <c r="K3" s="1373"/>
      <c r="L3" s="1373"/>
      <c r="M3" s="1373"/>
      <c r="N3" s="1373"/>
      <c r="O3" s="558"/>
      <c r="P3" s="558"/>
      <c r="Q3" s="559"/>
      <c r="R3" s="558"/>
      <c r="S3" s="1134"/>
      <c r="T3" s="1134"/>
      <c r="Z3" s="1014"/>
      <c r="AA3" s="1016"/>
    </row>
    <row r="4" spans="1:29" x14ac:dyDescent="0.25">
      <c r="A4" s="1128"/>
      <c r="B4" s="1129"/>
      <c r="C4" s="1129"/>
      <c r="D4" s="1129"/>
      <c r="E4" s="1129"/>
      <c r="F4" s="1129"/>
      <c r="G4" s="1129"/>
      <c r="H4" s="1129"/>
      <c r="I4" s="1129"/>
      <c r="J4" s="1129"/>
      <c r="K4" s="1129"/>
      <c r="L4" s="1129"/>
      <c r="M4" s="1129"/>
      <c r="N4" s="1129"/>
      <c r="O4" s="1129"/>
      <c r="P4" s="1129"/>
      <c r="Q4" s="1129"/>
      <c r="R4" s="1129"/>
      <c r="S4" s="1129"/>
      <c r="T4" s="1129"/>
      <c r="X4" s="783"/>
      <c r="Y4" s="783"/>
      <c r="Z4" s="1033"/>
      <c r="AA4" s="953"/>
      <c r="AB4" s="2"/>
      <c r="AC4" s="2"/>
    </row>
    <row r="5" spans="1:29" ht="18.75" thickBot="1" x14ac:dyDescent="0.3">
      <c r="A5" s="1130">
        <f>КровляDDP!A5</f>
        <v>0</v>
      </c>
      <c r="B5" s="1131"/>
      <c r="C5" s="1131"/>
      <c r="D5" s="1131"/>
      <c r="E5" s="1131"/>
      <c r="F5" s="1131"/>
      <c r="G5" s="1131"/>
      <c r="H5" s="1131"/>
      <c r="I5" s="1131"/>
      <c r="J5" s="1131"/>
      <c r="K5" s="1131"/>
      <c r="L5" s="1131"/>
      <c r="M5" s="1131"/>
      <c r="N5" s="1132"/>
      <c r="O5" s="1133"/>
      <c r="P5" s="1131"/>
      <c r="Q5" s="1131"/>
      <c r="R5" s="1129"/>
      <c r="S5" s="1129"/>
      <c r="T5" s="1129"/>
      <c r="X5" s="1009"/>
      <c r="Y5" s="1009"/>
      <c r="Z5" s="1018"/>
      <c r="AA5" s="953"/>
      <c r="AB5" s="2"/>
      <c r="AC5" s="2"/>
    </row>
    <row r="6" spans="1:29" ht="72.75" customHeight="1" thickBot="1" x14ac:dyDescent="0.4">
      <c r="A6" s="1250" t="s">
        <v>0</v>
      </c>
      <c r="B6" s="1252" t="s">
        <v>1</v>
      </c>
      <c r="C6" s="1254" t="s">
        <v>2</v>
      </c>
      <c r="D6" s="1256" t="s">
        <v>3</v>
      </c>
      <c r="E6" s="1260" t="s">
        <v>56</v>
      </c>
      <c r="F6" s="109"/>
      <c r="G6" s="1260" t="s">
        <v>133</v>
      </c>
      <c r="H6" s="1260" t="s">
        <v>36</v>
      </c>
      <c r="I6" s="1260" t="s">
        <v>582</v>
      </c>
      <c r="J6" s="1260" t="s">
        <v>56</v>
      </c>
      <c r="K6" s="1276" t="s">
        <v>49</v>
      </c>
      <c r="L6" s="1277"/>
      <c r="M6" s="1278"/>
      <c r="N6" s="1273" t="s">
        <v>48</v>
      </c>
      <c r="O6" s="1274"/>
      <c r="P6" s="1265" t="s">
        <v>44</v>
      </c>
      <c r="Q6" s="1266"/>
      <c r="R6" s="1264" t="s">
        <v>760</v>
      </c>
      <c r="S6" s="1265"/>
      <c r="T6" s="1266"/>
      <c r="X6" s="27"/>
      <c r="Y6" s="27"/>
      <c r="Z6" s="1020"/>
      <c r="AA6" s="1032"/>
      <c r="AB6"/>
    </row>
    <row r="7" spans="1:29" ht="36.75" thickBot="1" x14ac:dyDescent="0.3">
      <c r="A7" s="1251"/>
      <c r="B7" s="1253"/>
      <c r="C7" s="1255"/>
      <c r="D7" s="1257"/>
      <c r="E7" s="1262"/>
      <c r="F7" s="110"/>
      <c r="G7" s="1263"/>
      <c r="H7" s="1263"/>
      <c r="I7" s="1263"/>
      <c r="J7" s="1262"/>
      <c r="K7" s="472" t="s">
        <v>5</v>
      </c>
      <c r="L7" s="480" t="s">
        <v>17</v>
      </c>
      <c r="M7" s="481" t="s">
        <v>18</v>
      </c>
      <c r="N7" s="475" t="s">
        <v>47</v>
      </c>
      <c r="O7" s="476" t="s">
        <v>18</v>
      </c>
      <c r="P7" s="482" t="s">
        <v>43</v>
      </c>
      <c r="Q7" s="476" t="s">
        <v>42</v>
      </c>
      <c r="R7" s="458" t="s">
        <v>6</v>
      </c>
      <c r="S7" s="54" t="s">
        <v>18</v>
      </c>
      <c r="T7" s="41" t="s">
        <v>22</v>
      </c>
      <c r="U7" s="1225"/>
      <c r="V7" s="1151"/>
      <c r="W7" s="1240"/>
      <c r="X7" s="1161"/>
      <c r="Y7" s="1151"/>
      <c r="Z7" s="1151"/>
      <c r="AA7" s="1152"/>
      <c r="AB7" s="2"/>
      <c r="AC7" s="649"/>
    </row>
    <row r="8" spans="1:29" ht="24.95" customHeight="1" thickBot="1" x14ac:dyDescent="0.3">
      <c r="A8" s="35" t="s">
        <v>467</v>
      </c>
      <c r="B8" s="252">
        <v>1200</v>
      </c>
      <c r="C8" s="250">
        <v>600</v>
      </c>
      <c r="D8" s="251">
        <v>50</v>
      </c>
      <c r="E8" s="278"/>
      <c r="F8" s="278"/>
      <c r="G8" s="760">
        <v>404567</v>
      </c>
      <c r="H8" s="686" t="s">
        <v>46</v>
      </c>
      <c r="I8" s="604">
        <f>IF(OR('ПОЛЫ Рязань'!$U$6="Завод 'ТЕХНО' г.Рязань",'ПОЛЫ Рязань'!$U$6="Завод 'ТЕХНО' г.Заинск"),'ПОЛЫ Рязань'!I8,'ПОЛЫ Юрга'!I8)</f>
        <v>117.504</v>
      </c>
      <c r="J8" s="176"/>
      <c r="K8" s="311">
        <v>6</v>
      </c>
      <c r="L8" s="323">
        <f>B8*C8*K8/1000000</f>
        <v>4.32</v>
      </c>
      <c r="M8" s="327">
        <f>D8*L8/1000</f>
        <v>0.216</v>
      </c>
      <c r="N8" s="281">
        <v>32</v>
      </c>
      <c r="O8" s="283">
        <f>M8*N8</f>
        <v>6.9119999999999999</v>
      </c>
      <c r="P8" s="229">
        <f>O8*11</f>
        <v>76.031999999999996</v>
      </c>
      <c r="Q8" s="321"/>
      <c r="R8" s="88">
        <f>IFERROR(M8*S8,"---")</f>
        <v>900.72</v>
      </c>
      <c r="S8" s="786">
        <f>IFERROR(IF(OR('ПОЛЫ Рязань'!$U$6="Завод 'ТЕХНО' г.Рязань",'ПОЛЫ Рязань'!$U$6="Завод 'ТЕХНО' г.Заинск"),IF('ПОЛЫ Рязань'!$U$6="Завод 'ТЕХНО' г.Рязань",'ПОЛЫ Рязань'!S8*(1-'ПОЛЫ Рязань'!$W$5-'ПОЛЫ Рязань'!W8)+IFERROR(SEARCH("комп",J8)/SEARCH("комп",J8)*'ПОЛЫ Рязань'!$S$5,'ПОЛЫ Рязань'!T$5),'ПОЛЫ Заинск'!S8*(1-'ПОЛЫ Рязань'!$W$5-'ПОЛЫ Рязань'!W8)+IFERROR(SEARCH("комп",J8)/SEARCH("комп",J8)*'ПОЛЫ Рязань'!$S$5,'ПОЛЫ Рязань'!T$5)),'ПОЛЫ Юрга'!S8*(1-'ПОЛЫ Рязань'!$W$5-'ПОЛЫ Рязань'!W8)+IFERROR(SEARCH("комп",J8)/SEARCH("комп",J8)*'ПОЛЫ Рязань'!$S$5,'ПОЛЫ Рязань'!T$5)),"нет")</f>
        <v>4170</v>
      </c>
      <c r="T8" s="101">
        <f>IFERROR(S8*D8/1000,"---")</f>
        <v>208.5</v>
      </c>
      <c r="U8" s="1221"/>
      <c r="V8" s="1229"/>
      <c r="W8" s="1221"/>
      <c r="X8" s="1154"/>
      <c r="Y8" s="1155"/>
      <c r="Z8" s="1156"/>
      <c r="AA8" s="1157"/>
      <c r="AB8" s="82"/>
      <c r="AC8" s="650"/>
    </row>
    <row r="9" spans="1:29" ht="24.95" customHeight="1" thickBot="1" x14ac:dyDescent="0.3">
      <c r="A9" s="689" t="s">
        <v>468</v>
      </c>
      <c r="B9" s="203">
        <v>1200</v>
      </c>
      <c r="C9" s="204">
        <v>600</v>
      </c>
      <c r="D9" s="209">
        <v>60</v>
      </c>
      <c r="E9" s="263">
        <v>125</v>
      </c>
      <c r="F9" s="263">
        <v>18.08449074074074</v>
      </c>
      <c r="G9" s="754">
        <v>404568</v>
      </c>
      <c r="H9" s="686" t="s">
        <v>46</v>
      </c>
      <c r="I9" s="1181">
        <f>IF(OR('ПОЛЫ Рязань'!$U$6="Завод 'ТЕХНО' г.Рязань",'ПОЛЫ Рязань'!$U$6="Завод 'ТЕХНО' г.Заинск"),'ПОЛЫ Рязань'!I9,'ПОЛЫ Юрга'!I9)</f>
        <v>117.504</v>
      </c>
      <c r="J9" s="177">
        <v>393.98400000000004</v>
      </c>
      <c r="K9" s="97">
        <v>5</v>
      </c>
      <c r="L9" s="166">
        <f>B9*C9*K9/1000000</f>
        <v>3.6</v>
      </c>
      <c r="M9" s="169">
        <f>D9*L9/1000</f>
        <v>0.216</v>
      </c>
      <c r="N9" s="97">
        <v>32</v>
      </c>
      <c r="O9" s="126">
        <f>M9*N9</f>
        <v>6.9119999999999999</v>
      </c>
      <c r="P9" s="231">
        <f>O9*11</f>
        <v>76.031999999999996</v>
      </c>
      <c r="Q9" s="266"/>
      <c r="R9" s="88">
        <f t="shared" ref="R9:R43" si="0">IFERROR(M9*S9,"---")</f>
        <v>900.72</v>
      </c>
      <c r="S9" s="786">
        <f>IFERROR(IF(OR('ПОЛЫ Рязань'!$U$6="Завод 'ТЕХНО' г.Рязань",'ПОЛЫ Рязань'!$U$6="Завод 'ТЕХНО' г.Заинск"),IF('ПОЛЫ Рязань'!$U$6="Завод 'ТЕХНО' г.Рязань",'ПОЛЫ Рязань'!S9*(1-'ПОЛЫ Рязань'!$W$5-'ПОЛЫ Рязань'!W9)+IFERROR(SEARCH("комп",J9)/SEARCH("комп",J9)*'ПОЛЫ Рязань'!$S$5,'ПОЛЫ Рязань'!T$5),'ПОЛЫ Заинск'!S9*(1-'ПОЛЫ Рязань'!$W$5-'ПОЛЫ Рязань'!W9)+IFERROR(SEARCH("комп",J9)/SEARCH("комп",J9)*'ПОЛЫ Рязань'!$S$5,'ПОЛЫ Рязань'!T$5)),'ПОЛЫ Юрга'!S9*(1-'ПОЛЫ Рязань'!$W$5-'ПОЛЫ Рязань'!W9)+IFERROR(SEARCH("комп",J9)/SEARCH("комп",J9)*'ПОЛЫ Рязань'!$S$5,'ПОЛЫ Рязань'!T$5)),"нет")</f>
        <v>4170</v>
      </c>
      <c r="T9" s="101">
        <f t="shared" ref="T9:T43" si="1">IFERROR(S9*D9/1000,"---")</f>
        <v>250.2</v>
      </c>
      <c r="U9" s="1221"/>
      <c r="V9" s="1229"/>
      <c r="W9" s="1221"/>
      <c r="X9" s="1154"/>
      <c r="Y9" s="1155"/>
      <c r="Z9" s="1156"/>
      <c r="AA9" s="1157"/>
      <c r="AB9" s="82"/>
      <c r="AC9" s="650"/>
    </row>
    <row r="10" spans="1:29" ht="24.95" customHeight="1" thickBot="1" x14ac:dyDescent="0.3">
      <c r="A10" s="693"/>
      <c r="B10" s="203">
        <v>1200</v>
      </c>
      <c r="C10" s="204">
        <v>600</v>
      </c>
      <c r="D10" s="209">
        <v>70</v>
      </c>
      <c r="E10" s="263">
        <v>125</v>
      </c>
      <c r="F10" s="263">
        <v>19.376240079365079</v>
      </c>
      <c r="G10" s="754">
        <v>404571</v>
      </c>
      <c r="H10" s="686" t="s">
        <v>46</v>
      </c>
      <c r="I10" s="1181">
        <f>IF(OR('ПОЛЫ Рязань'!$U$6="Завод 'ТЕХНО' г.Рязань",'ПОЛЫ Рязань'!$U$6="Завод 'ТЕХНО' г.Заинск"),'ПОЛЫ Рязань'!I10,'ПОЛЫ Юрга'!I10)</f>
        <v>116.1216</v>
      </c>
      <c r="J10" s="177">
        <v>387.072</v>
      </c>
      <c r="K10" s="97">
        <v>4</v>
      </c>
      <c r="L10" s="166">
        <f t="shared" ref="L10:L43" si="2">B10*C10*K10/1000000</f>
        <v>2.88</v>
      </c>
      <c r="M10" s="169">
        <f t="shared" ref="M10:M43" si="3">D10*L10/1000</f>
        <v>0.2016</v>
      </c>
      <c r="N10" s="97">
        <v>32</v>
      </c>
      <c r="O10" s="126">
        <f t="shared" ref="O10:O43" si="4">M10*N10</f>
        <v>6.4512</v>
      </c>
      <c r="P10" s="231">
        <f t="shared" ref="P10:P43" si="5">O10*11</f>
        <v>70.963200000000001</v>
      </c>
      <c r="Q10" s="266"/>
      <c r="R10" s="88">
        <f t="shared" si="0"/>
        <v>840.67200000000003</v>
      </c>
      <c r="S10" s="786">
        <f>IFERROR(IF(OR('ПОЛЫ Рязань'!$U$6="Завод 'ТЕХНО' г.Рязань",'ПОЛЫ Рязань'!$U$6="Завод 'ТЕХНО' г.Заинск"),IF('ПОЛЫ Рязань'!$U$6="Завод 'ТЕХНО' г.Рязань",'ПОЛЫ Рязань'!S10*(1-'ПОЛЫ Рязань'!$W$5-'ПОЛЫ Рязань'!W10)+IFERROR(SEARCH("комп",J10)/SEARCH("комп",J10)*'ПОЛЫ Рязань'!$S$5,'ПОЛЫ Рязань'!T$5),'ПОЛЫ Заинск'!S10*(1-'ПОЛЫ Рязань'!$W$5-'ПОЛЫ Рязань'!W10)+IFERROR(SEARCH("комп",J10)/SEARCH("комп",J10)*'ПОЛЫ Рязань'!$S$5,'ПОЛЫ Рязань'!T$5)),'ПОЛЫ Юрга'!S10*(1-'ПОЛЫ Рязань'!$W$5-'ПОЛЫ Рязань'!W10)+IFERROR(SEARCH("комп",J10)/SEARCH("комп",J10)*'ПОЛЫ Рязань'!$S$5,'ПОЛЫ Рязань'!T$5)),"нет")</f>
        <v>4170</v>
      </c>
      <c r="T10" s="101">
        <f t="shared" si="1"/>
        <v>291.89999999999998</v>
      </c>
      <c r="U10" s="1221"/>
      <c r="V10" s="1229"/>
      <c r="W10" s="1221"/>
      <c r="X10" s="1154"/>
      <c r="Y10" s="1155"/>
      <c r="Z10" s="1156"/>
      <c r="AA10" s="1157"/>
      <c r="AB10" s="2"/>
      <c r="AC10" s="2"/>
    </row>
    <row r="11" spans="1:29" ht="24.95" customHeight="1" thickBot="1" x14ac:dyDescent="0.3">
      <c r="A11" s="693"/>
      <c r="B11" s="203">
        <v>1200</v>
      </c>
      <c r="C11" s="204">
        <v>600</v>
      </c>
      <c r="D11" s="209">
        <v>80</v>
      </c>
      <c r="E11" s="263"/>
      <c r="F11" s="263">
        <v>0</v>
      </c>
      <c r="G11" s="754">
        <v>404576</v>
      </c>
      <c r="H11" s="686" t="s">
        <v>46</v>
      </c>
      <c r="I11" s="1181">
        <f>IF(OR('ПОЛЫ Рязань'!$U$6="Завод 'ТЕХНО' г.Рязань",'ПОЛЫ Рязань'!$U$6="Завод 'ТЕХНО' г.Заинск"),'ПОЛЫ Рязань'!I11,'ПОЛЫ Юрга'!I11)</f>
        <v>117.50399999999999</v>
      </c>
      <c r="J11" s="177"/>
      <c r="K11" s="97">
        <v>5</v>
      </c>
      <c r="L11" s="166">
        <f t="shared" si="2"/>
        <v>3.6</v>
      </c>
      <c r="M11" s="169">
        <f t="shared" si="3"/>
        <v>0.28799999999999998</v>
      </c>
      <c r="N11" s="97">
        <v>24</v>
      </c>
      <c r="O11" s="126">
        <f t="shared" si="4"/>
        <v>6.911999999999999</v>
      </c>
      <c r="P11" s="231">
        <f t="shared" si="5"/>
        <v>76.031999999999982</v>
      </c>
      <c r="Q11" s="266"/>
      <c r="R11" s="88">
        <f t="shared" si="0"/>
        <v>1200.9599999999998</v>
      </c>
      <c r="S11" s="786">
        <f>IFERROR(IF(OR('ПОЛЫ Рязань'!$U$6="Завод 'ТЕХНО' г.Рязань",'ПОЛЫ Рязань'!$U$6="Завод 'ТЕХНО' г.Заинск"),IF('ПОЛЫ Рязань'!$U$6="Завод 'ТЕХНО' г.Рязань",'ПОЛЫ Рязань'!S11*(1-'ПОЛЫ Рязань'!$W$5-'ПОЛЫ Рязань'!W11)+IFERROR(SEARCH("комп",J11)/SEARCH("комп",J11)*'ПОЛЫ Рязань'!$S$5,'ПОЛЫ Рязань'!T$5),'ПОЛЫ Заинск'!S11*(1-'ПОЛЫ Рязань'!$W$5-'ПОЛЫ Рязань'!W11)+IFERROR(SEARCH("комп",J11)/SEARCH("комп",J11)*'ПОЛЫ Рязань'!$S$5,'ПОЛЫ Рязань'!T$5)),'ПОЛЫ Юрга'!S11*(1-'ПОЛЫ Рязань'!$W$5-'ПОЛЫ Рязань'!W11)+IFERROR(SEARCH("комп",J11)/SEARCH("комп",J11)*'ПОЛЫ Рязань'!$S$5,'ПОЛЫ Рязань'!T$5)),"нет")</f>
        <v>4170</v>
      </c>
      <c r="T11" s="101">
        <f t="shared" si="1"/>
        <v>333.6</v>
      </c>
      <c r="U11" s="1221"/>
      <c r="V11" s="1229"/>
      <c r="W11" s="1221"/>
      <c r="X11" s="1154"/>
      <c r="Y11" s="1155"/>
      <c r="Z11" s="1156"/>
      <c r="AA11" s="1157"/>
      <c r="AB11" s="82"/>
      <c r="AC11" s="650"/>
    </row>
    <row r="12" spans="1:29" ht="24.95" customHeight="1" thickBot="1" x14ac:dyDescent="0.3">
      <c r="A12" s="693"/>
      <c r="B12" s="203">
        <v>1200</v>
      </c>
      <c r="C12" s="204">
        <v>600</v>
      </c>
      <c r="D12" s="209">
        <v>90</v>
      </c>
      <c r="E12" s="263">
        <v>125</v>
      </c>
      <c r="F12" s="263">
        <v>20.093878600823047</v>
      </c>
      <c r="G12" s="754">
        <v>404578</v>
      </c>
      <c r="H12" s="686" t="s">
        <v>46</v>
      </c>
      <c r="I12" s="1181">
        <f>IF(OR('ПОЛЫ Рязань'!$U$6="Завод 'ТЕХНО' г.Рязань",'ПОЛЫ Рязань'!$U$6="Завод 'ТЕХНО' г.Заинск"),'ПОЛЫ Рязань'!I12,'ПОЛЫ Юрга'!I12)</f>
        <v>111.97439999999999</v>
      </c>
      <c r="J12" s="177">
        <v>391.91039999999998</v>
      </c>
      <c r="K12" s="97">
        <v>4</v>
      </c>
      <c r="L12" s="166">
        <f t="shared" si="2"/>
        <v>2.88</v>
      </c>
      <c r="M12" s="169">
        <f t="shared" si="3"/>
        <v>0.25919999999999999</v>
      </c>
      <c r="N12" s="97">
        <v>24</v>
      </c>
      <c r="O12" s="126">
        <f t="shared" si="4"/>
        <v>6.2207999999999997</v>
      </c>
      <c r="P12" s="231">
        <f t="shared" si="5"/>
        <v>68.428799999999995</v>
      </c>
      <c r="Q12" s="266"/>
      <c r="R12" s="88">
        <f t="shared" si="0"/>
        <v>1080.864</v>
      </c>
      <c r="S12" s="786">
        <f>IFERROR(IF(OR('ПОЛЫ Рязань'!$U$6="Завод 'ТЕХНО' г.Рязань",'ПОЛЫ Рязань'!$U$6="Завод 'ТЕХНО' г.Заинск"),IF('ПОЛЫ Рязань'!$U$6="Завод 'ТЕХНО' г.Рязань",'ПОЛЫ Рязань'!S12*(1-'ПОЛЫ Рязань'!$W$5-'ПОЛЫ Рязань'!W12)+IFERROR(SEARCH("комп",J12)/SEARCH("комп",J12)*'ПОЛЫ Рязань'!$S$5,'ПОЛЫ Рязань'!T$5),'ПОЛЫ Заинск'!S12*(1-'ПОЛЫ Рязань'!$W$5-'ПОЛЫ Рязань'!W12)+IFERROR(SEARCH("комп",J12)/SEARCH("комп",J12)*'ПОЛЫ Рязань'!$S$5,'ПОЛЫ Рязань'!T$5)),'ПОЛЫ Юрга'!S12*(1-'ПОЛЫ Рязань'!$W$5-'ПОЛЫ Рязань'!W12)+IFERROR(SEARCH("комп",J12)/SEARCH("комп",J12)*'ПОЛЫ Рязань'!$S$5,'ПОЛЫ Рязань'!T$5)),"нет")</f>
        <v>4170</v>
      </c>
      <c r="T12" s="101">
        <f t="shared" si="1"/>
        <v>375.3</v>
      </c>
      <c r="U12" s="1221"/>
      <c r="V12" s="1229"/>
      <c r="W12" s="1221"/>
      <c r="X12" s="1154"/>
      <c r="Y12" s="1155"/>
      <c r="Z12" s="1156"/>
      <c r="AA12" s="1157"/>
      <c r="AB12" s="2"/>
      <c r="AC12" s="2"/>
    </row>
    <row r="13" spans="1:29" ht="24.95" customHeight="1" thickBot="1" x14ac:dyDescent="0.3">
      <c r="A13" s="693"/>
      <c r="B13" s="203">
        <v>1200</v>
      </c>
      <c r="C13" s="204">
        <v>600</v>
      </c>
      <c r="D13" s="209">
        <v>100</v>
      </c>
      <c r="E13" s="263"/>
      <c r="F13" s="263">
        <v>0</v>
      </c>
      <c r="G13" s="754">
        <v>404579</v>
      </c>
      <c r="H13" s="686" t="s">
        <v>46</v>
      </c>
      <c r="I13" s="592">
        <f>IF(OR('ПОЛЫ Рязань'!$U$6="Завод 'ТЕХНО' г.Рязань",'ПОЛЫ Рязань'!$U$6="Завод 'ТЕХНО' г.Заинск"),'ПОЛЫ Рязань'!I13,'ПОЛЫ Юрга'!I13)</f>
        <v>117.50399999999999</v>
      </c>
      <c r="J13" s="177"/>
      <c r="K13" s="97">
        <v>4</v>
      </c>
      <c r="L13" s="166">
        <f t="shared" si="2"/>
        <v>2.88</v>
      </c>
      <c r="M13" s="169">
        <f t="shared" si="3"/>
        <v>0.28799999999999998</v>
      </c>
      <c r="N13" s="97">
        <v>24</v>
      </c>
      <c r="O13" s="126">
        <f t="shared" si="4"/>
        <v>6.911999999999999</v>
      </c>
      <c r="P13" s="231">
        <f t="shared" si="5"/>
        <v>76.031999999999982</v>
      </c>
      <c r="Q13" s="266"/>
      <c r="R13" s="88">
        <f t="shared" si="0"/>
        <v>1200.9599999999998</v>
      </c>
      <c r="S13" s="786">
        <f>IFERROR(IF(OR('ПОЛЫ Рязань'!$U$6="Завод 'ТЕХНО' г.Рязань",'ПОЛЫ Рязань'!$U$6="Завод 'ТЕХНО' г.Заинск"),IF('ПОЛЫ Рязань'!$U$6="Завод 'ТЕХНО' г.Рязань",'ПОЛЫ Рязань'!S13*(1-'ПОЛЫ Рязань'!$W$5-'ПОЛЫ Рязань'!W13)+IFERROR(SEARCH("комп",J13)/SEARCH("комп",J13)*'ПОЛЫ Рязань'!$S$5,'ПОЛЫ Рязань'!T$5),'ПОЛЫ Заинск'!S13*(1-'ПОЛЫ Рязань'!$W$5-'ПОЛЫ Рязань'!W13)+IFERROR(SEARCH("комп",J13)/SEARCH("комп",J13)*'ПОЛЫ Рязань'!$S$5,'ПОЛЫ Рязань'!T$5)),'ПОЛЫ Юрга'!S13*(1-'ПОЛЫ Рязань'!$W$5-'ПОЛЫ Рязань'!W13)+IFERROR(SEARCH("комп",J13)/SEARCH("комп",J13)*'ПОЛЫ Рязань'!$S$5,'ПОЛЫ Рязань'!T$5)),"нет")</f>
        <v>4170</v>
      </c>
      <c r="T13" s="101">
        <f t="shared" si="1"/>
        <v>417</v>
      </c>
      <c r="U13" s="1221"/>
      <c r="V13" s="1229"/>
      <c r="W13" s="1221"/>
      <c r="X13" s="1154"/>
      <c r="Y13" s="1155"/>
      <c r="Z13" s="1156"/>
      <c r="AA13" s="1157"/>
      <c r="AB13" s="82"/>
      <c r="AC13" s="650"/>
    </row>
    <row r="14" spans="1:29" ht="24.95" customHeight="1" thickBot="1" x14ac:dyDescent="0.3">
      <c r="A14" s="693"/>
      <c r="B14" s="203">
        <v>1200</v>
      </c>
      <c r="C14" s="204">
        <v>600</v>
      </c>
      <c r="D14" s="209">
        <v>110</v>
      </c>
      <c r="E14" s="263">
        <v>125</v>
      </c>
      <c r="F14" s="263">
        <v>18.789081289081288</v>
      </c>
      <c r="G14" s="754">
        <v>404587</v>
      </c>
      <c r="H14" s="686" t="s">
        <v>46</v>
      </c>
      <c r="I14" s="1181">
        <f>IF(OR('ПОЛЫ Рязань'!$U$6="Завод 'ТЕХНО' г.Рязань",'ПОЛЫ Рязань'!$U$6="Завод 'ТЕХНО' г.Заинск"),'ПОЛЫ Рязань'!I14,'ПОЛЫ Юрга'!I14)</f>
        <v>113.09760000000001</v>
      </c>
      <c r="J14" s="177">
        <v>379.20960000000002</v>
      </c>
      <c r="K14" s="97">
        <v>3</v>
      </c>
      <c r="L14" s="166">
        <f t="shared" si="2"/>
        <v>2.16</v>
      </c>
      <c r="M14" s="169">
        <f t="shared" si="3"/>
        <v>0.23760000000000003</v>
      </c>
      <c r="N14" s="97">
        <v>28</v>
      </c>
      <c r="O14" s="126">
        <f t="shared" si="4"/>
        <v>6.6528000000000009</v>
      </c>
      <c r="P14" s="231">
        <f t="shared" si="5"/>
        <v>73.180800000000005</v>
      </c>
      <c r="Q14" s="266"/>
      <c r="R14" s="88">
        <f t="shared" si="0"/>
        <v>990.79200000000014</v>
      </c>
      <c r="S14" s="786">
        <f>IFERROR(IF(OR('ПОЛЫ Рязань'!$U$6="Завод 'ТЕХНО' г.Рязань",'ПОЛЫ Рязань'!$U$6="Завод 'ТЕХНО' г.Заинск"),IF('ПОЛЫ Рязань'!$U$6="Завод 'ТЕХНО' г.Рязань",'ПОЛЫ Рязань'!S14*(1-'ПОЛЫ Рязань'!$W$5-'ПОЛЫ Рязань'!W14)+IFERROR(SEARCH("комп",J14)/SEARCH("комп",J14)*'ПОЛЫ Рязань'!$S$5,'ПОЛЫ Рязань'!T$5),'ПОЛЫ Заинск'!S14*(1-'ПОЛЫ Рязань'!$W$5-'ПОЛЫ Рязань'!W14)+IFERROR(SEARCH("комп",J14)/SEARCH("комп",J14)*'ПОЛЫ Рязань'!$S$5,'ПОЛЫ Рязань'!T$5)),'ПОЛЫ Юрга'!S14*(1-'ПОЛЫ Рязань'!$W$5-'ПОЛЫ Рязань'!W14)+IFERROR(SEARCH("комп",J14)/SEARCH("комп",J14)*'ПОЛЫ Рязань'!$S$5,'ПОЛЫ Рязань'!T$5)),"нет")</f>
        <v>4170</v>
      </c>
      <c r="T14" s="101">
        <f t="shared" si="1"/>
        <v>458.7</v>
      </c>
      <c r="U14" s="1221"/>
      <c r="V14" s="1229"/>
      <c r="W14" s="1221"/>
      <c r="X14" s="1154"/>
      <c r="Y14" s="1155"/>
      <c r="Z14" s="1156"/>
      <c r="AA14" s="1157"/>
      <c r="AB14" s="2"/>
      <c r="AC14" s="2"/>
    </row>
    <row r="15" spans="1:29" ht="24.95" customHeight="1" thickBot="1" x14ac:dyDescent="0.3">
      <c r="A15" s="693"/>
      <c r="B15" s="203">
        <v>1200</v>
      </c>
      <c r="C15" s="204">
        <v>600</v>
      </c>
      <c r="D15" s="209">
        <v>120</v>
      </c>
      <c r="E15" s="263">
        <v>125</v>
      </c>
      <c r="F15" s="263">
        <v>20.093878600823043</v>
      </c>
      <c r="G15" s="754">
        <v>404589</v>
      </c>
      <c r="H15" s="686" t="s">
        <v>46</v>
      </c>
      <c r="I15" s="1181">
        <f>IF(OR('ПОЛЫ Рязань'!$U$6="Завод 'ТЕХНО' г.Рязань",'ПОЛЫ Рязань'!$U$6="Завод 'ТЕХНО' г.Заинск"),'ПОЛЫ Рязань'!I15,'ПОЛЫ Юрга'!I15)</f>
        <v>111.9744</v>
      </c>
      <c r="J15" s="177">
        <v>391.9104000000001</v>
      </c>
      <c r="K15" s="97">
        <v>3</v>
      </c>
      <c r="L15" s="166">
        <f t="shared" si="2"/>
        <v>2.16</v>
      </c>
      <c r="M15" s="169">
        <f t="shared" si="3"/>
        <v>0.25920000000000004</v>
      </c>
      <c r="N15" s="97">
        <v>24</v>
      </c>
      <c r="O15" s="126">
        <f t="shared" si="4"/>
        <v>6.2208000000000006</v>
      </c>
      <c r="P15" s="231">
        <f t="shared" si="5"/>
        <v>68.42880000000001</v>
      </c>
      <c r="Q15" s="266"/>
      <c r="R15" s="88">
        <f t="shared" si="0"/>
        <v>1080.8640000000003</v>
      </c>
      <c r="S15" s="786">
        <f>IFERROR(IF(OR('ПОЛЫ Рязань'!$U$6="Завод 'ТЕХНО' г.Рязань",'ПОЛЫ Рязань'!$U$6="Завод 'ТЕХНО' г.Заинск"),IF('ПОЛЫ Рязань'!$U$6="Завод 'ТЕХНО' г.Рязань",'ПОЛЫ Рязань'!S15*(1-'ПОЛЫ Рязань'!$W$5-'ПОЛЫ Рязань'!W15)+IFERROR(SEARCH("комп",J15)/SEARCH("комп",J15)*'ПОЛЫ Рязань'!$S$5,'ПОЛЫ Рязань'!T$5),'ПОЛЫ Заинск'!S15*(1-'ПОЛЫ Рязань'!$W$5-'ПОЛЫ Рязань'!W15)+IFERROR(SEARCH("комп",J15)/SEARCH("комп",J15)*'ПОЛЫ Рязань'!$S$5,'ПОЛЫ Рязань'!T$5)),'ПОЛЫ Юрга'!S15*(1-'ПОЛЫ Рязань'!$W$5-'ПОЛЫ Рязань'!W15)+IFERROR(SEARCH("комп",J15)/SEARCH("комп",J15)*'ПОЛЫ Рязань'!$S$5,'ПОЛЫ Рязань'!T$5)),"нет")</f>
        <v>4170</v>
      </c>
      <c r="T15" s="101">
        <f t="shared" si="1"/>
        <v>500.4</v>
      </c>
      <c r="U15" s="1221"/>
      <c r="V15" s="1229"/>
      <c r="W15" s="1221"/>
      <c r="X15" s="1154"/>
      <c r="Y15" s="1155"/>
      <c r="Z15" s="1156"/>
      <c r="AA15" s="1157"/>
      <c r="AB15" s="2"/>
      <c r="AC15" s="2"/>
    </row>
    <row r="16" spans="1:29" ht="24.95" customHeight="1" thickBot="1" x14ac:dyDescent="0.3">
      <c r="A16" s="693"/>
      <c r="B16" s="203">
        <v>1200</v>
      </c>
      <c r="C16" s="204">
        <v>600</v>
      </c>
      <c r="D16" s="209">
        <v>130</v>
      </c>
      <c r="E16" s="263">
        <v>125</v>
      </c>
      <c r="F16" s="263">
        <v>18.548195631528966</v>
      </c>
      <c r="G16" s="754">
        <v>404592</v>
      </c>
      <c r="H16" s="686" t="s">
        <v>46</v>
      </c>
      <c r="I16" s="1181">
        <f>IF(OR('ПОЛЫ Рязань'!$U$6="Завод 'ТЕХНО' г.Рязань",'ПОЛЫ Рязань'!$U$6="Завод 'ТЕХНО' г.Заинск"),'ПОЛЫ Рязань'!I16,'ПОЛЫ Юрга'!I16)</f>
        <v>114.56639999999999</v>
      </c>
      <c r="J16" s="177">
        <v>384.13439999999991</v>
      </c>
      <c r="K16" s="97">
        <v>2</v>
      </c>
      <c r="L16" s="166">
        <f t="shared" si="2"/>
        <v>1.44</v>
      </c>
      <c r="M16" s="169">
        <f t="shared" si="3"/>
        <v>0.18719999999999998</v>
      </c>
      <c r="N16" s="97">
        <v>36</v>
      </c>
      <c r="O16" s="126">
        <f t="shared" si="4"/>
        <v>6.7391999999999994</v>
      </c>
      <c r="P16" s="231">
        <f t="shared" si="5"/>
        <v>74.131199999999993</v>
      </c>
      <c r="Q16" s="266"/>
      <c r="R16" s="88">
        <f t="shared" si="0"/>
        <v>780.62399999999991</v>
      </c>
      <c r="S16" s="786">
        <f>IFERROR(IF(OR('ПОЛЫ Рязань'!$U$6="Завод 'ТЕХНО' г.Рязань",'ПОЛЫ Рязань'!$U$6="Завод 'ТЕХНО' г.Заинск"),IF('ПОЛЫ Рязань'!$U$6="Завод 'ТЕХНО' г.Рязань",'ПОЛЫ Рязань'!S16*(1-'ПОЛЫ Рязань'!$W$5-'ПОЛЫ Рязань'!W16)+IFERROR(SEARCH("комп",J16)/SEARCH("комп",J16)*'ПОЛЫ Рязань'!$S$5,'ПОЛЫ Рязань'!T$5),'ПОЛЫ Заинск'!S16*(1-'ПОЛЫ Рязань'!$W$5-'ПОЛЫ Рязань'!W16)+IFERROR(SEARCH("комп",J16)/SEARCH("комп",J16)*'ПОЛЫ Рязань'!$S$5,'ПОЛЫ Рязань'!T$5)),'ПОЛЫ Юрга'!S16*(1-'ПОЛЫ Рязань'!$W$5-'ПОЛЫ Рязань'!W16)+IFERROR(SEARCH("комп",J16)/SEARCH("комп",J16)*'ПОЛЫ Рязань'!$S$5,'ПОЛЫ Рязань'!T$5)),"нет")</f>
        <v>4170</v>
      </c>
      <c r="T16" s="101">
        <f t="shared" si="1"/>
        <v>542.1</v>
      </c>
      <c r="U16" s="1221"/>
      <c r="V16" s="1229"/>
      <c r="W16" s="1221"/>
      <c r="X16" s="1154"/>
      <c r="Y16" s="1155"/>
      <c r="Z16" s="1156"/>
      <c r="AA16" s="1157"/>
      <c r="AB16" s="2"/>
      <c r="AC16" s="2"/>
    </row>
    <row r="17" spans="1:29" ht="24.95" customHeight="1" thickBot="1" x14ac:dyDescent="0.3">
      <c r="A17" s="693"/>
      <c r="B17" s="203">
        <v>1200</v>
      </c>
      <c r="C17" s="204">
        <v>600</v>
      </c>
      <c r="D17" s="209">
        <v>140</v>
      </c>
      <c r="E17" s="263">
        <v>125</v>
      </c>
      <c r="F17" s="263">
        <v>19.376240079365079</v>
      </c>
      <c r="G17" s="754">
        <v>404593</v>
      </c>
      <c r="H17" s="686" t="s">
        <v>46</v>
      </c>
      <c r="I17" s="1181">
        <f>IF(OR('ПОЛЫ Рязань'!$U$6="Завод 'ТЕХНО' г.Рязань",'ПОЛЫ Рязань'!$U$6="Завод 'ТЕХНО' г.Заинск"),'ПОЛЫ Рязань'!I17,'ПОЛЫ Юрга'!I17)</f>
        <v>116.1216</v>
      </c>
      <c r="J17" s="177">
        <v>387.072</v>
      </c>
      <c r="K17" s="97">
        <v>2</v>
      </c>
      <c r="L17" s="166">
        <f t="shared" si="2"/>
        <v>1.44</v>
      </c>
      <c r="M17" s="169">
        <f t="shared" si="3"/>
        <v>0.2016</v>
      </c>
      <c r="N17" s="97">
        <v>32</v>
      </c>
      <c r="O17" s="126">
        <f t="shared" si="4"/>
        <v>6.4512</v>
      </c>
      <c r="P17" s="231">
        <f t="shared" si="5"/>
        <v>70.963200000000001</v>
      </c>
      <c r="Q17" s="266"/>
      <c r="R17" s="88">
        <f t="shared" si="0"/>
        <v>840.67200000000003</v>
      </c>
      <c r="S17" s="786">
        <f>IFERROR(IF(OR('ПОЛЫ Рязань'!$U$6="Завод 'ТЕХНО' г.Рязань",'ПОЛЫ Рязань'!$U$6="Завод 'ТЕХНО' г.Заинск"),IF('ПОЛЫ Рязань'!$U$6="Завод 'ТЕХНО' г.Рязань",'ПОЛЫ Рязань'!S17*(1-'ПОЛЫ Рязань'!$W$5-'ПОЛЫ Рязань'!W17)+IFERROR(SEARCH("комп",J17)/SEARCH("комп",J17)*'ПОЛЫ Рязань'!$S$5,'ПОЛЫ Рязань'!T$5),'ПОЛЫ Заинск'!S17*(1-'ПОЛЫ Рязань'!$W$5-'ПОЛЫ Рязань'!W17)+IFERROR(SEARCH("комп",J17)/SEARCH("комп",J17)*'ПОЛЫ Рязань'!$S$5,'ПОЛЫ Рязань'!T$5)),'ПОЛЫ Юрга'!S17*(1-'ПОЛЫ Рязань'!$W$5-'ПОЛЫ Рязань'!W17)+IFERROR(SEARCH("комп",J17)/SEARCH("комп",J17)*'ПОЛЫ Рязань'!$S$5,'ПОЛЫ Рязань'!T$5)),"нет")</f>
        <v>4170</v>
      </c>
      <c r="T17" s="101">
        <f t="shared" si="1"/>
        <v>583.79999999999995</v>
      </c>
      <c r="U17" s="1221"/>
      <c r="V17" s="1229"/>
      <c r="W17" s="1221"/>
      <c r="X17" s="1154"/>
      <c r="Y17" s="1155"/>
      <c r="Z17" s="1156"/>
      <c r="AA17" s="1157"/>
      <c r="AB17" s="82"/>
      <c r="AC17" s="650"/>
    </row>
    <row r="18" spans="1:29" ht="24.95" customHeight="1" thickBot="1" x14ac:dyDescent="0.3">
      <c r="A18" s="693"/>
      <c r="B18" s="203">
        <v>1200</v>
      </c>
      <c r="C18" s="204">
        <v>600</v>
      </c>
      <c r="D18" s="209">
        <v>150</v>
      </c>
      <c r="E18" s="263">
        <v>125</v>
      </c>
      <c r="F18" s="263">
        <v>18.08449074074074</v>
      </c>
      <c r="G18" s="754">
        <v>404594</v>
      </c>
      <c r="H18" s="686" t="s">
        <v>46</v>
      </c>
      <c r="I18" s="1181">
        <f>IF(OR('ПОЛЫ Рязань'!$U$6="Завод 'ТЕХНО' г.Рязань",'ПОЛЫ Рязань'!$U$6="Завод 'ТЕХНО' г.Заинск"),'ПОЛЫ Рязань'!I18,'ПОЛЫ Юрга'!I18)</f>
        <v>117.504</v>
      </c>
      <c r="J18" s="177">
        <v>393.98400000000004</v>
      </c>
      <c r="K18" s="97">
        <v>2</v>
      </c>
      <c r="L18" s="166">
        <f t="shared" si="2"/>
        <v>1.44</v>
      </c>
      <c r="M18" s="169">
        <f t="shared" si="3"/>
        <v>0.216</v>
      </c>
      <c r="N18" s="97">
        <v>32</v>
      </c>
      <c r="O18" s="126">
        <f t="shared" si="4"/>
        <v>6.9119999999999999</v>
      </c>
      <c r="P18" s="231">
        <f t="shared" si="5"/>
        <v>76.031999999999996</v>
      </c>
      <c r="Q18" s="266"/>
      <c r="R18" s="88">
        <f t="shared" si="0"/>
        <v>900.72</v>
      </c>
      <c r="S18" s="786">
        <f>IFERROR(IF(OR('ПОЛЫ Рязань'!$U$6="Завод 'ТЕХНО' г.Рязань",'ПОЛЫ Рязань'!$U$6="Завод 'ТЕХНО' г.Заинск"),IF('ПОЛЫ Рязань'!$U$6="Завод 'ТЕХНО' г.Рязань",'ПОЛЫ Рязань'!S18*(1-'ПОЛЫ Рязань'!$W$5-'ПОЛЫ Рязань'!W18)+IFERROR(SEARCH("комп",J18)/SEARCH("комп",J18)*'ПОЛЫ Рязань'!$S$5,'ПОЛЫ Рязань'!T$5),'ПОЛЫ Заинск'!S18*(1-'ПОЛЫ Рязань'!$W$5-'ПОЛЫ Рязань'!W18)+IFERROR(SEARCH("комп",J18)/SEARCH("комп",J18)*'ПОЛЫ Рязань'!$S$5,'ПОЛЫ Рязань'!T$5)),'ПОЛЫ Юрга'!S18*(1-'ПОЛЫ Рязань'!$W$5-'ПОЛЫ Рязань'!W18)+IFERROR(SEARCH("комп",J18)/SEARCH("комп",J18)*'ПОЛЫ Рязань'!$S$5,'ПОЛЫ Рязань'!T$5)),"нет")</f>
        <v>4170</v>
      </c>
      <c r="T18" s="101">
        <f t="shared" si="1"/>
        <v>625.5</v>
      </c>
      <c r="U18" s="1221"/>
      <c r="V18" s="1229"/>
      <c r="W18" s="1221"/>
      <c r="X18" s="1154"/>
      <c r="Y18" s="1155"/>
      <c r="Z18" s="1156"/>
      <c r="AA18" s="1157"/>
      <c r="AB18" s="2"/>
      <c r="AC18" s="2"/>
    </row>
    <row r="19" spans="1:29" ht="24.95" customHeight="1" thickBot="1" x14ac:dyDescent="0.3">
      <c r="A19" s="693"/>
      <c r="B19" s="203">
        <v>1200</v>
      </c>
      <c r="C19" s="204">
        <v>600</v>
      </c>
      <c r="D19" s="209">
        <v>160</v>
      </c>
      <c r="E19" s="263">
        <v>125</v>
      </c>
      <c r="F19" s="263">
        <v>19.376240079365083</v>
      </c>
      <c r="G19" s="754">
        <v>404595</v>
      </c>
      <c r="H19" s="686" t="s">
        <v>46</v>
      </c>
      <c r="I19" s="1181">
        <f>IF(OR('ПОЛЫ Рязань'!$U$6="Завод 'ТЕХНО' г.Рязань",'ПОЛЫ Рязань'!$U$6="Завод 'ТЕХНО' г.Заинск"),'ПОЛЫ Рязань'!I19,'ПОЛЫ Юрга'!I19)</f>
        <v>116.12159999999999</v>
      </c>
      <c r="J19" s="177">
        <v>387.07199999999989</v>
      </c>
      <c r="K19" s="97">
        <v>2</v>
      </c>
      <c r="L19" s="166">
        <f t="shared" si="2"/>
        <v>1.44</v>
      </c>
      <c r="M19" s="169">
        <f t="shared" si="3"/>
        <v>0.23039999999999997</v>
      </c>
      <c r="N19" s="97">
        <v>28</v>
      </c>
      <c r="O19" s="126">
        <f t="shared" si="4"/>
        <v>6.4511999999999992</v>
      </c>
      <c r="P19" s="231">
        <f t="shared" si="5"/>
        <v>70.963199999999986</v>
      </c>
      <c r="Q19" s="266"/>
      <c r="R19" s="88">
        <f t="shared" si="0"/>
        <v>960.7679999999998</v>
      </c>
      <c r="S19" s="786">
        <f>IFERROR(IF(OR('ПОЛЫ Рязань'!$U$6="Завод 'ТЕХНО' г.Рязань",'ПОЛЫ Рязань'!$U$6="Завод 'ТЕХНО' г.Заинск"),IF('ПОЛЫ Рязань'!$U$6="Завод 'ТЕХНО' г.Рязань",'ПОЛЫ Рязань'!S19*(1-'ПОЛЫ Рязань'!$W$5-'ПОЛЫ Рязань'!W19)+IFERROR(SEARCH("комп",J19)/SEARCH("комп",J19)*'ПОЛЫ Рязань'!$S$5,'ПОЛЫ Рязань'!T$5),'ПОЛЫ Заинск'!S19*(1-'ПОЛЫ Рязань'!$W$5-'ПОЛЫ Рязань'!W19)+IFERROR(SEARCH("комп",J19)/SEARCH("комп",J19)*'ПОЛЫ Рязань'!$S$5,'ПОЛЫ Рязань'!T$5)),'ПОЛЫ Юрга'!S19*(1-'ПОЛЫ Рязань'!$W$5-'ПОЛЫ Рязань'!W19)+IFERROR(SEARCH("комп",J19)/SEARCH("комп",J19)*'ПОЛЫ Рязань'!$S$5,'ПОЛЫ Рязань'!T$5)),"нет")</f>
        <v>4170</v>
      </c>
      <c r="T19" s="101">
        <f t="shared" si="1"/>
        <v>667.2</v>
      </c>
      <c r="U19" s="1221"/>
      <c r="V19" s="1229"/>
      <c r="W19" s="1221"/>
      <c r="X19" s="1154"/>
      <c r="Y19" s="1155"/>
      <c r="Z19" s="1156"/>
      <c r="AA19" s="1157"/>
      <c r="AB19" s="2"/>
      <c r="AC19" s="2"/>
    </row>
    <row r="20" spans="1:29" ht="24.95" customHeight="1" thickBot="1" x14ac:dyDescent="0.3">
      <c r="A20" s="693"/>
      <c r="B20" s="203">
        <v>1200</v>
      </c>
      <c r="C20" s="204">
        <v>600</v>
      </c>
      <c r="D20" s="209">
        <v>170</v>
      </c>
      <c r="E20" s="263">
        <v>125</v>
      </c>
      <c r="F20" s="263">
        <v>18.236461251167132</v>
      </c>
      <c r="G20" s="754">
        <v>404596</v>
      </c>
      <c r="H20" s="686" t="s">
        <v>46</v>
      </c>
      <c r="I20" s="1181">
        <f>IF(OR('ПОЛЫ Рязань'!$U$6="Завод 'ТЕХНО' г.Рязань",'ПОЛЫ Рязань'!$U$6="Завод 'ТЕХНО' г.Заинск"),'ПОЛЫ Рязань'!I20,'ПОЛЫ Юрга'!I20)</f>
        <v>116.5248</v>
      </c>
      <c r="J20" s="177">
        <v>390.70079999999996</v>
      </c>
      <c r="K20" s="97">
        <v>2</v>
      </c>
      <c r="L20" s="166">
        <f t="shared" si="2"/>
        <v>1.44</v>
      </c>
      <c r="M20" s="169">
        <f t="shared" si="3"/>
        <v>0.24479999999999999</v>
      </c>
      <c r="N20" s="97">
        <v>28</v>
      </c>
      <c r="O20" s="126">
        <f t="shared" si="4"/>
        <v>6.8544</v>
      </c>
      <c r="P20" s="231">
        <f t="shared" si="5"/>
        <v>75.398399999999995</v>
      </c>
      <c r="Q20" s="266"/>
      <c r="R20" s="88">
        <f t="shared" si="0"/>
        <v>1020.8159999999999</v>
      </c>
      <c r="S20" s="786">
        <f>IFERROR(IF(OR('ПОЛЫ Рязань'!$U$6="Завод 'ТЕХНО' г.Рязань",'ПОЛЫ Рязань'!$U$6="Завод 'ТЕХНО' г.Заинск"),IF('ПОЛЫ Рязань'!$U$6="Завод 'ТЕХНО' г.Рязань",'ПОЛЫ Рязань'!S20*(1-'ПОЛЫ Рязань'!$W$5-'ПОЛЫ Рязань'!W20)+IFERROR(SEARCH("комп",J20)/SEARCH("комп",J20)*'ПОЛЫ Рязань'!$S$5,'ПОЛЫ Рязань'!T$5),'ПОЛЫ Заинск'!S20*(1-'ПОЛЫ Рязань'!$W$5-'ПОЛЫ Рязань'!W20)+IFERROR(SEARCH("комп",J20)/SEARCH("комп",J20)*'ПОЛЫ Рязань'!$S$5,'ПОЛЫ Рязань'!T$5)),'ПОЛЫ Юрга'!S20*(1-'ПОЛЫ Рязань'!$W$5-'ПОЛЫ Рязань'!W20)+IFERROR(SEARCH("комп",J20)/SEARCH("комп",J20)*'ПОЛЫ Рязань'!$S$5,'ПОЛЫ Рязань'!T$5)),"нет")</f>
        <v>4170</v>
      </c>
      <c r="T20" s="101">
        <f t="shared" si="1"/>
        <v>708.9</v>
      </c>
      <c r="U20" s="1221"/>
      <c r="V20" s="1229"/>
      <c r="W20" s="1221"/>
      <c r="X20" s="1154"/>
      <c r="Y20" s="1155"/>
      <c r="Z20" s="1156"/>
      <c r="AA20" s="1157"/>
      <c r="AB20" s="2"/>
      <c r="AC20" s="2"/>
    </row>
    <row r="21" spans="1:29" ht="24.95" customHeight="1" thickBot="1" x14ac:dyDescent="0.3">
      <c r="A21" s="693"/>
      <c r="B21" s="203">
        <v>1200</v>
      </c>
      <c r="C21" s="204">
        <v>600</v>
      </c>
      <c r="D21" s="209">
        <v>180</v>
      </c>
      <c r="E21" s="263">
        <v>125</v>
      </c>
      <c r="F21" s="263">
        <v>20.093878600823047</v>
      </c>
      <c r="G21" s="754">
        <v>403509</v>
      </c>
      <c r="H21" s="686" t="s">
        <v>46</v>
      </c>
      <c r="I21" s="1181">
        <f>IF(OR('ПОЛЫ Рязань'!$U$6="Завод 'ТЕХНО' г.Рязань",'ПОЛЫ Рязань'!$U$6="Завод 'ТЕХНО' г.Заинск"),'ПОЛЫ Рязань'!I21,'ПОЛЫ Юрга'!I21)</f>
        <v>111.97439999999999</v>
      </c>
      <c r="J21" s="177">
        <v>391.91039999999998</v>
      </c>
      <c r="K21" s="97">
        <v>2</v>
      </c>
      <c r="L21" s="166">
        <f t="shared" si="2"/>
        <v>1.44</v>
      </c>
      <c r="M21" s="169">
        <f t="shared" si="3"/>
        <v>0.25919999999999999</v>
      </c>
      <c r="N21" s="97">
        <v>24</v>
      </c>
      <c r="O21" s="126">
        <f t="shared" si="4"/>
        <v>6.2207999999999997</v>
      </c>
      <c r="P21" s="231">
        <f t="shared" si="5"/>
        <v>68.428799999999995</v>
      </c>
      <c r="Q21" s="266"/>
      <c r="R21" s="88">
        <f t="shared" si="0"/>
        <v>1080.864</v>
      </c>
      <c r="S21" s="786">
        <f>IFERROR(IF(OR('ПОЛЫ Рязань'!$U$6="Завод 'ТЕХНО' г.Рязань",'ПОЛЫ Рязань'!$U$6="Завод 'ТЕХНО' г.Заинск"),IF('ПОЛЫ Рязань'!$U$6="Завод 'ТЕХНО' г.Рязань",'ПОЛЫ Рязань'!S21*(1-'ПОЛЫ Рязань'!$W$5-'ПОЛЫ Рязань'!W21)+IFERROR(SEARCH("комп",J21)/SEARCH("комп",J21)*'ПОЛЫ Рязань'!$S$5,'ПОЛЫ Рязань'!T$5),'ПОЛЫ Заинск'!S21*(1-'ПОЛЫ Рязань'!$W$5-'ПОЛЫ Рязань'!W21)+IFERROR(SEARCH("комп",J21)/SEARCH("комп",J21)*'ПОЛЫ Рязань'!$S$5,'ПОЛЫ Рязань'!T$5)),'ПОЛЫ Юрга'!S21*(1-'ПОЛЫ Рязань'!$W$5-'ПОЛЫ Рязань'!W21)+IFERROR(SEARCH("комп",J21)/SEARCH("комп",J21)*'ПОЛЫ Рязань'!$S$5,'ПОЛЫ Рязань'!T$5)),"нет")</f>
        <v>4170</v>
      </c>
      <c r="T21" s="101">
        <f t="shared" si="1"/>
        <v>750.6</v>
      </c>
      <c r="U21" s="1221"/>
      <c r="V21" s="1229"/>
      <c r="W21" s="1221"/>
      <c r="X21" s="1154"/>
      <c r="Y21" s="1155"/>
      <c r="Z21" s="1156"/>
      <c r="AA21" s="1157"/>
      <c r="AB21" s="2"/>
      <c r="AC21" s="2"/>
    </row>
    <row r="22" spans="1:29" ht="24.95" customHeight="1" thickBot="1" x14ac:dyDescent="0.3">
      <c r="A22" s="693"/>
      <c r="B22" s="203">
        <v>1200</v>
      </c>
      <c r="C22" s="204">
        <v>600</v>
      </c>
      <c r="D22" s="209">
        <v>190</v>
      </c>
      <c r="E22" s="263">
        <v>125</v>
      </c>
      <c r="F22" s="263">
        <v>19.036306042884995</v>
      </c>
      <c r="G22" s="754">
        <v>404599</v>
      </c>
      <c r="H22" s="686" t="s">
        <v>46</v>
      </c>
      <c r="I22" s="1181">
        <f>IF(OR('ПОЛЫ Рязань'!$U$6="Завод 'ТЕХНО' г.Рязань",'ПОЛЫ Рязань'!$U$6="Завод 'ТЕХНО' г.Заинск"),'ПОЛЫ Рязань'!I22,'ПОЛЫ Юрга'!I22)</f>
        <v>111.62879999999998</v>
      </c>
      <c r="J22" s="177">
        <v>413.68319999999994</v>
      </c>
      <c r="K22" s="97">
        <v>2</v>
      </c>
      <c r="L22" s="166">
        <f t="shared" si="2"/>
        <v>1.44</v>
      </c>
      <c r="M22" s="169">
        <f t="shared" si="3"/>
        <v>0.27359999999999995</v>
      </c>
      <c r="N22" s="97">
        <v>24</v>
      </c>
      <c r="O22" s="126">
        <f t="shared" si="4"/>
        <v>6.5663999999999989</v>
      </c>
      <c r="P22" s="231">
        <f t="shared" si="5"/>
        <v>72.230399999999989</v>
      </c>
      <c r="Q22" s="266"/>
      <c r="R22" s="88">
        <f t="shared" si="0"/>
        <v>1140.9119999999998</v>
      </c>
      <c r="S22" s="786">
        <f>IFERROR(IF(OR('ПОЛЫ Рязань'!$U$6="Завод 'ТЕХНО' г.Рязань",'ПОЛЫ Рязань'!$U$6="Завод 'ТЕХНО' г.Заинск"),IF('ПОЛЫ Рязань'!$U$6="Завод 'ТЕХНО' г.Рязань",'ПОЛЫ Рязань'!S22*(1-'ПОЛЫ Рязань'!$W$5-'ПОЛЫ Рязань'!W22)+IFERROR(SEARCH("комп",J22)/SEARCH("комп",J22)*'ПОЛЫ Рязань'!$S$5,'ПОЛЫ Рязань'!T$5),'ПОЛЫ Заинск'!S22*(1-'ПОЛЫ Рязань'!$W$5-'ПОЛЫ Рязань'!W22)+IFERROR(SEARCH("комп",J22)/SEARCH("комп",J22)*'ПОЛЫ Рязань'!$S$5,'ПОЛЫ Рязань'!T$5)),'ПОЛЫ Юрга'!S22*(1-'ПОЛЫ Рязань'!$W$5-'ПОЛЫ Рязань'!W22)+IFERROR(SEARCH("комп",J22)/SEARCH("комп",J22)*'ПОЛЫ Рязань'!$S$5,'ПОЛЫ Рязань'!T$5)),"нет")</f>
        <v>4170</v>
      </c>
      <c r="T22" s="101">
        <f t="shared" si="1"/>
        <v>792.3</v>
      </c>
      <c r="U22" s="1221"/>
      <c r="V22" s="1229"/>
      <c r="W22" s="1221"/>
      <c r="X22" s="1154"/>
      <c r="Y22" s="1155"/>
      <c r="Z22" s="1156"/>
      <c r="AA22" s="1157"/>
      <c r="AB22" s="2"/>
      <c r="AC22" s="2"/>
    </row>
    <row r="23" spans="1:29" ht="24.95" customHeight="1" thickBot="1" x14ac:dyDescent="0.3">
      <c r="A23" s="750"/>
      <c r="B23" s="240">
        <v>1200</v>
      </c>
      <c r="C23" s="241">
        <v>600</v>
      </c>
      <c r="D23" s="242">
        <v>200</v>
      </c>
      <c r="E23" s="289">
        <v>125</v>
      </c>
      <c r="F23" s="289">
        <v>18.084490740740744</v>
      </c>
      <c r="G23" s="755">
        <v>404600</v>
      </c>
      <c r="H23" s="702" t="s">
        <v>46</v>
      </c>
      <c r="I23" s="1182">
        <f>IF(OR('ПОЛЫ Рязань'!$U$6="Завод 'ТЕХНО' г.Рязань",'ПОЛЫ Рязань'!$U$6="Завод 'ТЕХНО' г.Заинск"),'ПОЛЫ Рязань'!I23,'ПОЛЫ Юрга'!I23)</f>
        <v>117.50399999999999</v>
      </c>
      <c r="J23" s="455">
        <v>435.45599999999996</v>
      </c>
      <c r="K23" s="306">
        <v>2</v>
      </c>
      <c r="L23" s="167">
        <f t="shared" si="2"/>
        <v>1.44</v>
      </c>
      <c r="M23" s="307">
        <f t="shared" si="3"/>
        <v>0.28799999999999998</v>
      </c>
      <c r="N23" s="306">
        <v>24</v>
      </c>
      <c r="O23" s="129">
        <f t="shared" si="4"/>
        <v>6.911999999999999</v>
      </c>
      <c r="P23" s="260">
        <f t="shared" si="5"/>
        <v>76.031999999999982</v>
      </c>
      <c r="Q23" s="308"/>
      <c r="R23" s="479">
        <f t="shared" si="0"/>
        <v>1200.9599999999998</v>
      </c>
      <c r="S23" s="787">
        <f>IFERROR(IF(OR('ПОЛЫ Рязань'!$U$6="Завод 'ТЕХНО' г.Рязань",'ПОЛЫ Рязань'!$U$6="Завод 'ТЕХНО' г.Заинск"),IF('ПОЛЫ Рязань'!$U$6="Завод 'ТЕХНО' г.Рязань",'ПОЛЫ Рязань'!S23*(1-'ПОЛЫ Рязань'!$W$5-'ПОЛЫ Рязань'!W23)+IFERROR(SEARCH("комп",J23)/SEARCH("комп",J23)*'ПОЛЫ Рязань'!$S$5,'ПОЛЫ Рязань'!T$5),'ПОЛЫ Заинск'!S23*(1-'ПОЛЫ Рязань'!$W$5-'ПОЛЫ Рязань'!W23)+IFERROR(SEARCH("комп",J23)/SEARCH("комп",J23)*'ПОЛЫ Рязань'!$S$5,'ПОЛЫ Рязань'!T$5)),'ПОЛЫ Юрга'!S23*(1-'ПОЛЫ Рязань'!$W$5-'ПОЛЫ Рязань'!W23)+IFERROR(SEARCH("комп",J23)/SEARCH("комп",J23)*'ПОЛЫ Рязань'!$S$5,'ПОЛЫ Рязань'!T$5)),"нет")</f>
        <v>4170</v>
      </c>
      <c r="T23" s="102">
        <f t="shared" si="1"/>
        <v>834</v>
      </c>
      <c r="U23" s="1221"/>
      <c r="V23" s="1229"/>
      <c r="W23" s="1221"/>
      <c r="X23" s="1154"/>
      <c r="Y23" s="1155"/>
      <c r="Z23" s="1156"/>
      <c r="AA23" s="1157"/>
      <c r="AB23" s="2"/>
      <c r="AC23" s="2"/>
    </row>
    <row r="24" spans="1:29" ht="24.95" hidden="1" customHeight="1" thickBot="1" x14ac:dyDescent="0.3">
      <c r="A24" s="694"/>
      <c r="B24" s="249">
        <v>1200</v>
      </c>
      <c r="C24" s="287">
        <v>600</v>
      </c>
      <c r="D24" s="288">
        <v>190</v>
      </c>
      <c r="E24" s="319">
        <v>125</v>
      </c>
      <c r="F24" s="319">
        <v>19.036306042884995</v>
      </c>
      <c r="G24" s="749">
        <v>404599</v>
      </c>
      <c r="H24" s="706" t="s">
        <v>46</v>
      </c>
      <c r="I24" s="1183">
        <f>IF(OR('ПОЛЫ Рязань'!$U$6="Завод 'ТЕХНО' г.Рязань",'ПОЛЫ Рязань'!$U$6="Завод 'ТЕХНО' г.Заинск"),'ПОЛЫ Рязань'!I24,'ПОЛЫ Юрга'!I24)</f>
        <v>91.929599999999979</v>
      </c>
      <c r="J24" s="178">
        <v>413.68319999999994</v>
      </c>
      <c r="K24" s="320">
        <v>2</v>
      </c>
      <c r="L24" s="168">
        <f t="shared" si="2"/>
        <v>1.44</v>
      </c>
      <c r="M24" s="265">
        <f t="shared" si="3"/>
        <v>0.27359999999999995</v>
      </c>
      <c r="N24" s="320">
        <v>24</v>
      </c>
      <c r="O24" s="132">
        <f t="shared" si="4"/>
        <v>6.5663999999999989</v>
      </c>
      <c r="P24" s="223">
        <f t="shared" si="5"/>
        <v>72.230399999999989</v>
      </c>
      <c r="Q24" s="612"/>
      <c r="R24" s="88">
        <f t="shared" si="0"/>
        <v>1432.2959999999998</v>
      </c>
      <c r="S24" s="786">
        <f>IFERROR(IF(OR('ПОЛЫ Рязань'!$U$6="Завод 'ТЕХНО' г.Рязань",'ПОЛЫ Рязань'!$U$6="Завод 'ТЕХНО' г.Заинск"),IF('ПОЛЫ Рязань'!$U$6="Завод 'ТЕХНО' г.Рязань",'ПОЛЫ Рязань'!S24*(1-'ПОЛЫ Рязань'!$W$5-'ПОЛЫ Рязань'!W24)+IFERROR(SEARCH("комп",J24)/SEARCH("комп",J24)*'ПОЛЫ Рязань'!$S$5,'ПОЛЫ Рязань'!T$5),'ПОЛЫ Заинск'!S24*(1-'ПОЛЫ Рязань'!$W$5-'ПОЛЫ Рязань'!W24)+IFERROR(SEARCH("комп",J24)/SEARCH("комп",J24)*'ПОЛЫ Рязань'!$S$5,'ПОЛЫ Рязань'!T$5)),'ПОЛЫ Юрга'!S24*(1-'ПОЛЫ Рязань'!$W$5-'ПОЛЫ Рязань'!W24)+IFERROR(SEARCH("комп",J24)/SEARCH("комп",J24)*'ПОЛЫ Рязань'!$S$5,'ПОЛЫ Рязань'!T$5)),"нет")</f>
        <v>5235</v>
      </c>
      <c r="T24" s="101">
        <f t="shared" si="1"/>
        <v>994.65</v>
      </c>
      <c r="U24" s="1221"/>
      <c r="V24" s="1229"/>
      <c r="W24" s="1221"/>
      <c r="X24" s="1154"/>
      <c r="Y24" s="1155"/>
      <c r="Z24" s="1156"/>
      <c r="AA24" s="1157"/>
      <c r="AB24" s="2"/>
      <c r="AC24" s="2"/>
    </row>
    <row r="25" spans="1:29" ht="24.95" hidden="1" customHeight="1" thickBot="1" x14ac:dyDescent="0.3">
      <c r="A25" s="694"/>
      <c r="B25" s="240">
        <v>1200</v>
      </c>
      <c r="C25" s="241">
        <v>600</v>
      </c>
      <c r="D25" s="242">
        <v>200</v>
      </c>
      <c r="E25" s="263">
        <v>125</v>
      </c>
      <c r="F25" s="289">
        <v>18.084490740740744</v>
      </c>
      <c r="G25" s="695">
        <v>404600</v>
      </c>
      <c r="H25" s="686" t="s">
        <v>46</v>
      </c>
      <c r="I25" s="1181">
        <f>IF(OR('ПОЛЫ Рязань'!$U$6="Завод 'ТЕХНО' г.Рязань",'ПОЛЫ Рязань'!$U$6="Завод 'ТЕХНО' г.Заинск"),'ПОЛЫ Рязань'!I25,'ПОЛЫ Юрга'!I25)</f>
        <v>96.767999999999986</v>
      </c>
      <c r="J25" s="445">
        <v>435.45599999999996</v>
      </c>
      <c r="K25" s="306">
        <v>2</v>
      </c>
      <c r="L25" s="166">
        <f t="shared" si="2"/>
        <v>1.44</v>
      </c>
      <c r="M25" s="169">
        <f t="shared" si="3"/>
        <v>0.28799999999999998</v>
      </c>
      <c r="N25" s="306">
        <v>24</v>
      </c>
      <c r="O25" s="126">
        <f t="shared" si="4"/>
        <v>6.911999999999999</v>
      </c>
      <c r="P25" s="231">
        <f t="shared" si="5"/>
        <v>76.031999999999982</v>
      </c>
      <c r="Q25" s="308"/>
      <c r="R25" s="88" t="str">
        <f t="shared" si="0"/>
        <v>---</v>
      </c>
      <c r="S25" s="786" t="str">
        <f>IFERROR(IF(OR('ПОЛЫ Рязань'!$U$6="Завод 'ТЕХНО' г.Рязань",'ПОЛЫ Рязань'!$U$6="Завод 'ТЕХНО' г.Заинск"),IF('ПОЛЫ Рязань'!$U$6="Завод 'ТЕХНО' г.Рязань",'ПОЛЫ Рязань'!S25*(1-'ПОЛЫ Рязань'!$W$5-'ПОЛЫ Рязань'!W25)+IFERROR(SEARCH("комп",J25)/SEARCH("комп",J25)*'ПОЛЫ Рязань'!$S$5,'ПОЛЫ Рязань'!T$5),'ПОЛЫ Заинск'!S25*(1-'ПОЛЫ Рязань'!$W$5-'ПОЛЫ Рязань'!W25)+IFERROR(SEARCH("комп",J25)/SEARCH("комп",J25)*'ПОЛЫ Рязань'!$S$5,'ПОЛЫ Рязань'!T$5)),'ПОЛЫ Юрга'!S25*(1-'ПОЛЫ Рязань'!$W$5-'ПОЛЫ Рязань'!W25)+IFERROR(SEARCH("комп",J25)/SEARCH("комп",J25)*'ПОЛЫ Рязань'!$S$5,'ПОЛЫ Рязань'!T$5)),"нет")</f>
        <v>нет</v>
      </c>
      <c r="T25" s="101" t="str">
        <f t="shared" si="1"/>
        <v>---</v>
      </c>
      <c r="U25" s="1221"/>
      <c r="V25" s="1229"/>
      <c r="W25" s="1221"/>
      <c r="X25" s="1154"/>
      <c r="Y25" s="1155"/>
      <c r="Z25" s="1156"/>
      <c r="AA25" s="1157"/>
      <c r="AB25" s="2"/>
      <c r="AC25" s="2"/>
    </row>
    <row r="26" spans="1:29" ht="22.5" customHeight="1" thickBot="1" x14ac:dyDescent="0.3">
      <c r="A26" s="309" t="s">
        <v>469</v>
      </c>
      <c r="B26" s="252">
        <v>1200</v>
      </c>
      <c r="C26" s="250">
        <v>600</v>
      </c>
      <c r="D26" s="251">
        <v>30</v>
      </c>
      <c r="E26" s="263"/>
      <c r="F26" s="263"/>
      <c r="G26" s="753">
        <v>455638</v>
      </c>
      <c r="H26" s="686" t="s">
        <v>46</v>
      </c>
      <c r="I26" s="1181">
        <f>IF(OR('ПОЛЫ Рязань'!$U$6="Завод 'ТЕХНО' г.Рязань",'ПОЛЫ Рязань'!$U$6="Завод 'ТЕХНО' г.Заинск"),'ПОЛЫ Рязань'!I26,'ПОЛЫ Юрга'!I26)</f>
        <v>93.139200000000002</v>
      </c>
      <c r="J26" s="178"/>
      <c r="K26" s="311">
        <v>7</v>
      </c>
      <c r="L26" s="166">
        <f t="shared" si="2"/>
        <v>5.04</v>
      </c>
      <c r="M26" s="169">
        <f t="shared" si="3"/>
        <v>0.1512</v>
      </c>
      <c r="N26" s="97">
        <v>44</v>
      </c>
      <c r="O26" s="126">
        <f t="shared" si="4"/>
        <v>6.6528</v>
      </c>
      <c r="P26" s="231">
        <f t="shared" si="5"/>
        <v>73.180800000000005</v>
      </c>
      <c r="Q26" s="266"/>
      <c r="R26" s="88">
        <f t="shared" si="0"/>
        <v>737.1</v>
      </c>
      <c r="S26" s="786">
        <f>IFERROR(IF(OR('ПОЛЫ Рязань'!$U$6="Завод 'ТЕХНО' г.Рязань",'ПОЛЫ Рязань'!$U$6="Завод 'ТЕХНО' г.Заинск"),IF('ПОЛЫ Рязань'!$U$6="Завод 'ТЕХНО' г.Рязань",'ПОЛЫ Рязань'!S26*(1-'ПОЛЫ Рязань'!$W$5-'ПОЛЫ Рязань'!W26)+IFERROR(SEARCH("комп",J26)/SEARCH("комп",J26)*'ПОЛЫ Рязань'!$S$5,'ПОЛЫ Рязань'!T$5),'ПОЛЫ Заинск'!S26*(1-'ПОЛЫ Рязань'!$W$5-'ПОЛЫ Рязань'!W26)+IFERROR(SEARCH("комп",J26)/SEARCH("комп",J26)*'ПОЛЫ Рязань'!$S$5,'ПОЛЫ Рязань'!T$5)),'ПОЛЫ Юрга'!S26*(1-'ПОЛЫ Рязань'!$W$5-'ПОЛЫ Рязань'!W26)+IFERROR(SEARCH("комп",J26)/SEARCH("комп",J26)*'ПОЛЫ Рязань'!$S$5,'ПОЛЫ Рязань'!T$5)),"нет")</f>
        <v>4875</v>
      </c>
      <c r="T26" s="101">
        <f t="shared" si="1"/>
        <v>146.25</v>
      </c>
      <c r="U26" s="1221"/>
      <c r="V26" s="1229"/>
      <c r="W26" s="1221"/>
      <c r="X26" s="1154"/>
      <c r="Y26" s="1155"/>
      <c r="Z26" s="1156"/>
      <c r="AA26" s="1157"/>
      <c r="AB26" s="2"/>
      <c r="AC26" s="2"/>
    </row>
    <row r="27" spans="1:29" ht="22.5" customHeight="1" thickBot="1" x14ac:dyDescent="0.3">
      <c r="A27" s="689" t="s">
        <v>470</v>
      </c>
      <c r="B27" s="203">
        <v>1200</v>
      </c>
      <c r="C27" s="204">
        <v>600</v>
      </c>
      <c r="D27" s="209">
        <v>40</v>
      </c>
      <c r="E27" s="263"/>
      <c r="F27" s="263"/>
      <c r="G27" s="754">
        <v>395408</v>
      </c>
      <c r="H27" s="686" t="s">
        <v>46</v>
      </c>
      <c r="I27" s="1181">
        <f>IF(OR('ПОЛЫ Рязань'!$U$6="Завод 'ТЕХНО' г.Рязань",'ПОЛЫ Рязань'!$U$6="Завод 'ТЕХНО' г.Заинск"),'ПОЛЫ Рязань'!I27,'ПОЛЫ Юрга'!I27)</f>
        <v>96.768000000000015</v>
      </c>
      <c r="J27" s="177"/>
      <c r="K27" s="98">
        <v>6</v>
      </c>
      <c r="L27" s="166">
        <f t="shared" ref="L27" si="6">B27*C27*K27/1000000</f>
        <v>4.32</v>
      </c>
      <c r="M27" s="169">
        <f t="shared" ref="M27" si="7">D27*L27/1000</f>
        <v>0.17280000000000001</v>
      </c>
      <c r="N27" s="97">
        <v>40</v>
      </c>
      <c r="O27" s="126">
        <f t="shared" ref="O27" si="8">M27*N27</f>
        <v>6.9120000000000008</v>
      </c>
      <c r="P27" s="231">
        <f t="shared" ref="P27" si="9">O27*11</f>
        <v>76.032000000000011</v>
      </c>
      <c r="Q27" s="266"/>
      <c r="R27" s="88">
        <f t="shared" ref="R27" si="10">IFERROR(M27*S27,"---")</f>
        <v>842.40000000000009</v>
      </c>
      <c r="S27" s="786">
        <f>IFERROR(IF(OR('ПОЛЫ Рязань'!$U$6="Завод 'ТЕХНО' г.Рязань",'ПОЛЫ Рязань'!$U$6="Завод 'ТЕХНО' г.Заинск"),IF('ПОЛЫ Рязань'!$U$6="Завод 'ТЕХНО' г.Рязань",'ПОЛЫ Рязань'!S27*(1-'ПОЛЫ Рязань'!$W$5-'ПОЛЫ Рязань'!W27)+IFERROR(SEARCH("комп",J27)/SEARCH("комп",J27)*'ПОЛЫ Рязань'!$S$5,'ПОЛЫ Рязань'!T$5),'ПОЛЫ Заинск'!S27*(1-'ПОЛЫ Рязань'!$W$5-'ПОЛЫ Рязань'!W27)+IFERROR(SEARCH("комп",J27)/SEARCH("комп",J27)*'ПОЛЫ Рязань'!$S$5,'ПОЛЫ Рязань'!T$5)),'ПОЛЫ Юрга'!S27*(1-'ПОЛЫ Рязань'!$W$5-'ПОЛЫ Рязань'!W27)+IFERROR(SEARCH("комп",J27)/SEARCH("комп",J27)*'ПОЛЫ Рязань'!$S$5,'ПОЛЫ Рязань'!T$5)),"нет")</f>
        <v>4875</v>
      </c>
      <c r="T27" s="101">
        <f t="shared" ref="T27" si="11">IFERROR(S27*D27/1000,"---")</f>
        <v>195</v>
      </c>
      <c r="U27" s="1221"/>
      <c r="V27" s="1229"/>
      <c r="W27" s="1221"/>
      <c r="X27" s="1154"/>
      <c r="Y27" s="1155"/>
      <c r="Z27" s="1156"/>
      <c r="AA27" s="1157"/>
      <c r="AB27" s="2"/>
      <c r="AC27" s="2"/>
    </row>
    <row r="28" spans="1:29" ht="22.5" customHeight="1" thickBot="1" x14ac:dyDescent="0.3">
      <c r="A28" s="689"/>
      <c r="B28" s="203">
        <v>1200</v>
      </c>
      <c r="C28" s="204">
        <v>600</v>
      </c>
      <c r="D28" s="209">
        <v>50</v>
      </c>
      <c r="E28" s="263"/>
      <c r="F28" s="263"/>
      <c r="G28" s="754">
        <v>39559</v>
      </c>
      <c r="H28" s="686" t="s">
        <v>46</v>
      </c>
      <c r="I28" s="1181">
        <f>IF(OR('ПОЛЫ Рязань'!$U$6="Завод 'ТЕХНО' г.Рязань",'ПОЛЫ Рязань'!$U$6="Завод 'ТЕХНО' г.Заинск"),'ПОЛЫ Рязань'!I28,'ПОЛЫ Юрга'!I28)</f>
        <v>96.768000000000001</v>
      </c>
      <c r="J28" s="177"/>
      <c r="K28" s="98">
        <v>6</v>
      </c>
      <c r="L28" s="166">
        <f t="shared" si="2"/>
        <v>4.32</v>
      </c>
      <c r="M28" s="169">
        <f t="shared" si="3"/>
        <v>0.216</v>
      </c>
      <c r="N28" s="97">
        <v>32</v>
      </c>
      <c r="O28" s="126">
        <f t="shared" si="4"/>
        <v>6.9119999999999999</v>
      </c>
      <c r="P28" s="231">
        <f t="shared" si="5"/>
        <v>76.031999999999996</v>
      </c>
      <c r="Q28" s="266"/>
      <c r="R28" s="88">
        <f t="shared" si="0"/>
        <v>1053</v>
      </c>
      <c r="S28" s="786">
        <f>IFERROR(IF(OR('ПОЛЫ Рязань'!$U$6="Завод 'ТЕХНО' г.Рязань",'ПОЛЫ Рязань'!$U$6="Завод 'ТЕХНО' г.Заинск"),IF('ПОЛЫ Рязань'!$U$6="Завод 'ТЕХНО' г.Рязань",'ПОЛЫ Рязань'!S28*(1-'ПОЛЫ Рязань'!$W$5-'ПОЛЫ Рязань'!W28)+IFERROR(SEARCH("комп",J28)/SEARCH("комп",J28)*'ПОЛЫ Рязань'!$S$5,'ПОЛЫ Рязань'!T$5),'ПОЛЫ Заинск'!S28*(1-'ПОЛЫ Рязань'!$W$5-'ПОЛЫ Рязань'!W28)+IFERROR(SEARCH("комп",J28)/SEARCH("комп",J28)*'ПОЛЫ Рязань'!$S$5,'ПОЛЫ Рязань'!T$5)),'ПОЛЫ Юрга'!S28*(1-'ПОЛЫ Рязань'!$W$5-'ПОЛЫ Рязань'!W28)+IFERROR(SEARCH("комп",J28)/SEARCH("комп",J28)*'ПОЛЫ Рязань'!$S$5,'ПОЛЫ Рязань'!T$5)),"нет")</f>
        <v>4875</v>
      </c>
      <c r="T28" s="101">
        <f t="shared" si="1"/>
        <v>243.75</v>
      </c>
      <c r="U28" s="1221"/>
      <c r="V28" s="1229"/>
      <c r="W28" s="1221"/>
      <c r="X28" s="1154"/>
      <c r="Y28" s="1155"/>
      <c r="Z28" s="1156"/>
      <c r="AA28" s="1157"/>
      <c r="AB28" s="2"/>
      <c r="AC28" s="2"/>
    </row>
    <row r="29" spans="1:29" ht="22.5" customHeight="1" thickBot="1" x14ac:dyDescent="0.3">
      <c r="A29" s="689"/>
      <c r="B29" s="203">
        <v>1200</v>
      </c>
      <c r="C29" s="204">
        <v>600</v>
      </c>
      <c r="D29" s="209">
        <v>60</v>
      </c>
      <c r="E29" s="263"/>
      <c r="F29" s="263"/>
      <c r="G29" s="754">
        <v>404601</v>
      </c>
      <c r="H29" s="686" t="s">
        <v>46</v>
      </c>
      <c r="I29" s="1181">
        <f>IF(OR('ПОЛЫ Рязань'!$U$6="Завод 'ТЕХНО' г.Рязань",'ПОЛЫ Рязань'!$U$6="Завод 'ТЕХНО' г.Заинск"),'ПОЛЫ Рязань'!I29,'ПОЛЫ Юрга'!I29)</f>
        <v>96.767999999999986</v>
      </c>
      <c r="J29" s="177"/>
      <c r="K29" s="98">
        <v>4</v>
      </c>
      <c r="L29" s="166">
        <f t="shared" si="2"/>
        <v>2.88</v>
      </c>
      <c r="M29" s="169">
        <f t="shared" si="3"/>
        <v>0.17279999999999998</v>
      </c>
      <c r="N29" s="97">
        <v>40</v>
      </c>
      <c r="O29" s="126">
        <f t="shared" si="4"/>
        <v>6.911999999999999</v>
      </c>
      <c r="P29" s="231">
        <f t="shared" si="5"/>
        <v>76.031999999999982</v>
      </c>
      <c r="Q29" s="266"/>
      <c r="R29" s="88">
        <f t="shared" si="0"/>
        <v>842.39999999999986</v>
      </c>
      <c r="S29" s="786">
        <f>IFERROR(IF(OR('ПОЛЫ Рязань'!$U$6="Завод 'ТЕХНО' г.Рязань",'ПОЛЫ Рязань'!$U$6="Завод 'ТЕХНО' г.Заинск"),IF('ПОЛЫ Рязань'!$U$6="Завод 'ТЕХНО' г.Рязань",'ПОЛЫ Рязань'!S29*(1-'ПОЛЫ Рязань'!$W$5-'ПОЛЫ Рязань'!W29)+IFERROR(SEARCH("комп",J29)/SEARCH("комп",J29)*'ПОЛЫ Рязань'!$S$5,'ПОЛЫ Рязань'!T$5),'ПОЛЫ Заинск'!S29*(1-'ПОЛЫ Рязань'!$W$5-'ПОЛЫ Рязань'!W29)+IFERROR(SEARCH("комп",J29)/SEARCH("комп",J29)*'ПОЛЫ Рязань'!$S$5,'ПОЛЫ Рязань'!T$5)),'ПОЛЫ Юрга'!S29*(1-'ПОЛЫ Рязань'!$W$5-'ПОЛЫ Рязань'!W29)+IFERROR(SEARCH("комп",J29)/SEARCH("комп",J29)*'ПОЛЫ Рязань'!$S$5,'ПОЛЫ Рязань'!T$5)),"нет")</f>
        <v>4875</v>
      </c>
      <c r="T29" s="101">
        <f t="shared" si="1"/>
        <v>292.5</v>
      </c>
      <c r="U29" s="1221"/>
      <c r="V29" s="1229"/>
      <c r="W29" s="1221"/>
      <c r="X29" s="1154"/>
      <c r="Y29" s="1155"/>
      <c r="Z29" s="1156"/>
      <c r="AA29" s="1157"/>
      <c r="AB29" s="2"/>
      <c r="AC29" s="2"/>
    </row>
    <row r="30" spans="1:29" ht="22.5" customHeight="1" thickBot="1" x14ac:dyDescent="0.3">
      <c r="A30" s="751"/>
      <c r="B30" s="203">
        <v>1200</v>
      </c>
      <c r="C30" s="204">
        <v>600</v>
      </c>
      <c r="D30" s="209">
        <v>70</v>
      </c>
      <c r="E30" s="263"/>
      <c r="F30" s="263"/>
      <c r="G30" s="754">
        <v>404602</v>
      </c>
      <c r="H30" s="686" t="s">
        <v>46</v>
      </c>
      <c r="I30" s="1181">
        <f>IF(OR('ПОЛЫ Рязань'!$U$6="Завод 'ТЕХНО' г.Рязань",'ПОЛЫ Рязань'!$U$6="Завод 'ТЕХНО' г.Заинск"),'ПОЛЫ Рязань'!I30,'ПОЛЫ Юрга'!I30)</f>
        <v>96.768000000000001</v>
      </c>
      <c r="J30" s="177">
        <v>290.30399999999997</v>
      </c>
      <c r="K30" s="97">
        <v>4</v>
      </c>
      <c r="L30" s="166">
        <f t="shared" si="2"/>
        <v>2.88</v>
      </c>
      <c r="M30" s="169">
        <f t="shared" si="3"/>
        <v>0.2016</v>
      </c>
      <c r="N30" s="97">
        <v>32</v>
      </c>
      <c r="O30" s="126">
        <f t="shared" si="4"/>
        <v>6.4512</v>
      </c>
      <c r="P30" s="231">
        <f t="shared" si="5"/>
        <v>70.963200000000001</v>
      </c>
      <c r="Q30" s="266"/>
      <c r="R30" s="88">
        <f>IFERROR(M30*S30,"---")</f>
        <v>982.8</v>
      </c>
      <c r="S30" s="786">
        <f>IFERROR(IF(OR('ПОЛЫ Рязань'!$U$6="Завод 'ТЕХНО' г.Рязань",'ПОЛЫ Рязань'!$U$6="Завод 'ТЕХНО' г.Заинск"),IF('ПОЛЫ Рязань'!$U$6="Завод 'ТЕХНО' г.Рязань",'ПОЛЫ Рязань'!S30*(1-'ПОЛЫ Рязань'!$W$5-'ПОЛЫ Рязань'!W30)+IFERROR(SEARCH("комп",J30)/SEARCH("комп",J30)*'ПОЛЫ Рязань'!$S$5,'ПОЛЫ Рязань'!T$5),'ПОЛЫ Заинск'!S30*(1-'ПОЛЫ Рязань'!$W$5-'ПОЛЫ Рязань'!W30)+IFERROR(SEARCH("комп",J30)/SEARCH("комп",J30)*'ПОЛЫ Рязань'!$S$5,'ПОЛЫ Рязань'!T$5)),'ПОЛЫ Юрга'!S30*(1-'ПОЛЫ Рязань'!$W$5-'ПОЛЫ Рязань'!W30)+IFERROR(SEARCH("комп",J30)/SEARCH("комп",J30)*'ПОЛЫ Рязань'!$S$5,'ПОЛЫ Рязань'!T$5)),"нет")</f>
        <v>4875</v>
      </c>
      <c r="T30" s="101">
        <f t="shared" si="1"/>
        <v>341.25</v>
      </c>
      <c r="U30" s="1221"/>
      <c r="V30" s="1229"/>
      <c r="W30" s="1221"/>
      <c r="X30" s="1154"/>
      <c r="Y30" s="1155"/>
      <c r="Z30" s="1156"/>
      <c r="AA30" s="1157"/>
      <c r="AB30" s="2"/>
      <c r="AC30" s="2"/>
    </row>
    <row r="31" spans="1:29" ht="22.5" customHeight="1" thickBot="1" x14ac:dyDescent="0.3">
      <c r="A31" s="751"/>
      <c r="B31" s="203">
        <v>1200</v>
      </c>
      <c r="C31" s="204">
        <v>600</v>
      </c>
      <c r="D31" s="209">
        <v>80</v>
      </c>
      <c r="E31" s="263">
        <v>100</v>
      </c>
      <c r="F31" s="263">
        <v>16.075102880658438</v>
      </c>
      <c r="G31" s="754">
        <v>332336</v>
      </c>
      <c r="H31" s="686" t="s">
        <v>46</v>
      </c>
      <c r="I31" s="1181">
        <f>IF(OR('ПОЛЫ Рязань'!$U$6="Завод 'ТЕХНО' г.Рязань",'ПОЛЫ Рязань'!$U$6="Завод 'ТЕХНО' г.Заинск"),'ПОЛЫ Рязань'!I31,'ПОЛЫ Юрга'!I31)</f>
        <v>96.768000000000015</v>
      </c>
      <c r="J31" s="177">
        <v>317.26079999999996</v>
      </c>
      <c r="K31" s="97">
        <v>3</v>
      </c>
      <c r="L31" s="166">
        <f t="shared" si="2"/>
        <v>2.16</v>
      </c>
      <c r="M31" s="169">
        <f t="shared" si="3"/>
        <v>0.17280000000000001</v>
      </c>
      <c r="N31" s="97">
        <v>40</v>
      </c>
      <c r="O31" s="126">
        <f t="shared" si="4"/>
        <v>6.9120000000000008</v>
      </c>
      <c r="P31" s="231">
        <f t="shared" si="5"/>
        <v>76.032000000000011</v>
      </c>
      <c r="Q31" s="266"/>
      <c r="R31" s="88">
        <f t="shared" si="0"/>
        <v>842.40000000000009</v>
      </c>
      <c r="S31" s="786">
        <f>IFERROR(IF(OR('ПОЛЫ Рязань'!$U$6="Завод 'ТЕХНО' г.Рязань",'ПОЛЫ Рязань'!$U$6="Завод 'ТЕХНО' г.Заинск"),IF('ПОЛЫ Рязань'!$U$6="Завод 'ТЕХНО' г.Рязань",'ПОЛЫ Рязань'!S31*(1-'ПОЛЫ Рязань'!$W$5-'ПОЛЫ Рязань'!W31)+IFERROR(SEARCH("комп",J31)/SEARCH("комп",J31)*'ПОЛЫ Рязань'!$S$5,'ПОЛЫ Рязань'!T$5),'ПОЛЫ Заинск'!S31*(1-'ПОЛЫ Рязань'!$W$5-'ПОЛЫ Рязань'!W31)+IFERROR(SEARCH("комп",J31)/SEARCH("комп",J31)*'ПОЛЫ Рязань'!$S$5,'ПОЛЫ Рязань'!T$5)),'ПОЛЫ Юрга'!S31*(1-'ПОЛЫ Рязань'!$W$5-'ПОЛЫ Рязань'!W31)+IFERROR(SEARCH("комп",J31)/SEARCH("комп",J31)*'ПОЛЫ Рязань'!$S$5,'ПОЛЫ Рязань'!T$5)),"нет")</f>
        <v>4875</v>
      </c>
      <c r="T31" s="101">
        <f>IFERROR(S31*D31/1000,"---")</f>
        <v>390</v>
      </c>
      <c r="U31" s="1221"/>
      <c r="V31" s="1229"/>
      <c r="W31" s="1221"/>
      <c r="X31" s="1154"/>
      <c r="Y31" s="1155"/>
      <c r="Z31" s="1156"/>
      <c r="AA31" s="1157"/>
      <c r="AB31" s="2"/>
      <c r="AC31" s="2"/>
    </row>
    <row r="32" spans="1:29" ht="22.5" customHeight="1" thickBot="1" x14ac:dyDescent="0.3">
      <c r="A32" s="751"/>
      <c r="B32" s="203">
        <v>1200</v>
      </c>
      <c r="C32" s="204">
        <v>600</v>
      </c>
      <c r="D32" s="209">
        <v>90</v>
      </c>
      <c r="E32" s="263">
        <v>100</v>
      </c>
      <c r="F32" s="263">
        <v>14.467592592592592</v>
      </c>
      <c r="G32" s="754">
        <v>404603</v>
      </c>
      <c r="H32" s="686" t="s">
        <v>46</v>
      </c>
      <c r="I32" s="1181">
        <f>IF(OR('ПОЛЫ Рязань'!$U$6="Завод 'ТЕХНО' г.Рязань",'ПОЛЫ Рязань'!$U$6="Завод 'ТЕХНО' г.Заинск"),'ПОЛЫ Рязань'!I32,'ПОЛЫ Юрга'!I32)</f>
        <v>93.312000000000012</v>
      </c>
      <c r="J32" s="177"/>
      <c r="K32" s="97">
        <v>3</v>
      </c>
      <c r="L32" s="166">
        <f t="shared" si="2"/>
        <v>2.16</v>
      </c>
      <c r="M32" s="169">
        <f t="shared" si="3"/>
        <v>0.19440000000000002</v>
      </c>
      <c r="N32" s="97">
        <v>32</v>
      </c>
      <c r="O32" s="126">
        <f t="shared" si="4"/>
        <v>6.2208000000000006</v>
      </c>
      <c r="P32" s="231">
        <f t="shared" si="5"/>
        <v>68.42880000000001</v>
      </c>
      <c r="Q32" s="266"/>
      <c r="R32" s="88">
        <f t="shared" si="0"/>
        <v>947.7</v>
      </c>
      <c r="S32" s="786">
        <f>IFERROR(IF(OR('ПОЛЫ Рязань'!$U$6="Завод 'ТЕХНО' г.Рязань",'ПОЛЫ Рязань'!$U$6="Завод 'ТЕХНО' г.Заинск"),IF('ПОЛЫ Рязань'!$U$6="Завод 'ТЕХНО' г.Рязань",'ПОЛЫ Рязань'!S32*(1-'ПОЛЫ Рязань'!$W$5-'ПОЛЫ Рязань'!W32)+IFERROR(SEARCH("комп",J32)/SEARCH("комп",J32)*'ПОЛЫ Рязань'!$S$5,'ПОЛЫ Рязань'!T$5),'ПОЛЫ Заинск'!S32*(1-'ПОЛЫ Рязань'!$W$5-'ПОЛЫ Рязань'!W32)+IFERROR(SEARCH("комп",J32)/SEARCH("комп",J32)*'ПОЛЫ Рязань'!$S$5,'ПОЛЫ Рязань'!T$5)),'ПОЛЫ Юрга'!S32*(1-'ПОЛЫ Рязань'!$W$5-'ПОЛЫ Рязань'!W32)+IFERROR(SEARCH("комп",J32)/SEARCH("комп",J32)*'ПОЛЫ Рязань'!$S$5,'ПОЛЫ Рязань'!T$5)),"нет")</f>
        <v>4875</v>
      </c>
      <c r="T32" s="101">
        <f t="shared" si="1"/>
        <v>438.75</v>
      </c>
      <c r="U32" s="1221"/>
      <c r="V32" s="1229"/>
      <c r="W32" s="1221"/>
      <c r="X32" s="1154"/>
      <c r="Y32" s="1155"/>
      <c r="Z32" s="1156"/>
      <c r="AA32" s="1157"/>
      <c r="AB32" s="2"/>
      <c r="AC32" s="2"/>
    </row>
    <row r="33" spans="1:29" ht="22.5" customHeight="1" thickBot="1" x14ac:dyDescent="0.3">
      <c r="A33" s="751"/>
      <c r="B33" s="203">
        <v>1200</v>
      </c>
      <c r="C33" s="204">
        <v>600</v>
      </c>
      <c r="D33" s="209">
        <v>100</v>
      </c>
      <c r="E33" s="263"/>
      <c r="F33" s="263">
        <v>0</v>
      </c>
      <c r="G33" s="754">
        <v>366758</v>
      </c>
      <c r="H33" s="686" t="s">
        <v>46</v>
      </c>
      <c r="I33" s="1181">
        <f>IF(OR('ПОЛЫ Рязань'!$U$6="Завод 'ТЕХНО' г.Рязань",'ПОЛЫ Рязань'!$U$6="Завод 'ТЕХНО' г.Заинск"),'ПОЛЫ Рязань'!I33,'ПОЛЫ Юрга'!I33)</f>
        <v>96.768000000000001</v>
      </c>
      <c r="J33" s="177"/>
      <c r="K33" s="97">
        <v>3</v>
      </c>
      <c r="L33" s="166">
        <f t="shared" si="2"/>
        <v>2.16</v>
      </c>
      <c r="M33" s="169">
        <f t="shared" si="3"/>
        <v>0.216</v>
      </c>
      <c r="N33" s="97">
        <v>32</v>
      </c>
      <c r="O33" s="126">
        <f t="shared" si="4"/>
        <v>6.9119999999999999</v>
      </c>
      <c r="P33" s="231">
        <f t="shared" si="5"/>
        <v>76.031999999999996</v>
      </c>
      <c r="Q33" s="266"/>
      <c r="R33" s="88">
        <f t="shared" si="0"/>
        <v>1053</v>
      </c>
      <c r="S33" s="786">
        <f>IFERROR(IF(OR('ПОЛЫ Рязань'!$U$6="Завод 'ТЕХНО' г.Рязань",'ПОЛЫ Рязань'!$U$6="Завод 'ТЕХНО' г.Заинск"),IF('ПОЛЫ Рязань'!$U$6="Завод 'ТЕХНО' г.Рязань",'ПОЛЫ Рязань'!S33*(1-'ПОЛЫ Рязань'!$W$5-'ПОЛЫ Рязань'!W33)+IFERROR(SEARCH("комп",J33)/SEARCH("комп",J33)*'ПОЛЫ Рязань'!$S$5,'ПОЛЫ Рязань'!T$5),'ПОЛЫ Заинск'!S33*(1-'ПОЛЫ Рязань'!$W$5-'ПОЛЫ Рязань'!W33)+IFERROR(SEARCH("комп",J33)/SEARCH("комп",J33)*'ПОЛЫ Рязань'!$S$5,'ПОЛЫ Рязань'!T$5)),'ПОЛЫ Юрга'!S33*(1-'ПОЛЫ Рязань'!$W$5-'ПОЛЫ Рязань'!W33)+IFERROR(SEARCH("комп",J33)/SEARCH("комп",J33)*'ПОЛЫ Рязань'!$S$5,'ПОЛЫ Рязань'!T$5)),"нет")</f>
        <v>4875</v>
      </c>
      <c r="T33" s="101">
        <f t="shared" si="1"/>
        <v>487.5</v>
      </c>
      <c r="U33" s="1221"/>
      <c r="V33" s="1229"/>
      <c r="W33" s="1221"/>
      <c r="X33" s="1154"/>
      <c r="Y33" s="1155"/>
      <c r="Z33" s="1156"/>
      <c r="AA33" s="1157"/>
      <c r="AB33" s="2"/>
      <c r="AC33" s="2"/>
    </row>
    <row r="34" spans="1:29" ht="22.5" customHeight="1" thickBot="1" x14ac:dyDescent="0.3">
      <c r="A34" s="751"/>
      <c r="B34" s="203">
        <v>1200</v>
      </c>
      <c r="C34" s="204">
        <v>600</v>
      </c>
      <c r="D34" s="209">
        <v>110</v>
      </c>
      <c r="E34" s="263">
        <v>100</v>
      </c>
      <c r="F34" s="263">
        <v>15.031265031265031</v>
      </c>
      <c r="G34" s="754">
        <v>396992</v>
      </c>
      <c r="H34" s="686" t="s">
        <v>46</v>
      </c>
      <c r="I34" s="1181">
        <f>IF(OR('ПОЛЫ Рязань'!$U$6="Завод 'ТЕХНО' г.Рязань",'ПОЛЫ Рязань'!$U$6="Завод 'ТЕХНО' г.Заинск"),'ПОЛЫ Рязань'!I34,'ПОЛЫ Юрга'!I34)</f>
        <v>93.139200000000017</v>
      </c>
      <c r="J34" s="177">
        <v>319.33440000000002</v>
      </c>
      <c r="K34" s="97">
        <v>3</v>
      </c>
      <c r="L34" s="166">
        <f t="shared" si="2"/>
        <v>2.16</v>
      </c>
      <c r="M34" s="169">
        <f t="shared" si="3"/>
        <v>0.23760000000000003</v>
      </c>
      <c r="N34" s="97">
        <v>28</v>
      </c>
      <c r="O34" s="126">
        <f t="shared" si="4"/>
        <v>6.6528000000000009</v>
      </c>
      <c r="P34" s="231">
        <f t="shared" si="5"/>
        <v>73.180800000000005</v>
      </c>
      <c r="Q34" s="266"/>
      <c r="R34" s="88">
        <f t="shared" si="0"/>
        <v>1158.3000000000002</v>
      </c>
      <c r="S34" s="786">
        <f>IFERROR(IF(OR('ПОЛЫ Рязань'!$U$6="Завод 'ТЕХНО' г.Рязань",'ПОЛЫ Рязань'!$U$6="Завод 'ТЕХНО' г.Заинск"),IF('ПОЛЫ Рязань'!$U$6="Завод 'ТЕХНО' г.Рязань",'ПОЛЫ Рязань'!S34*(1-'ПОЛЫ Рязань'!$W$5-'ПОЛЫ Рязань'!W34)+IFERROR(SEARCH("комп",J34)/SEARCH("комп",J34)*'ПОЛЫ Рязань'!$S$5,'ПОЛЫ Рязань'!T$5),'ПОЛЫ Заинск'!S34*(1-'ПОЛЫ Рязань'!$W$5-'ПОЛЫ Рязань'!W34)+IFERROR(SEARCH("комп",J34)/SEARCH("комп",J34)*'ПОЛЫ Рязань'!$S$5,'ПОЛЫ Рязань'!T$5)),'ПОЛЫ Юрга'!S34*(1-'ПОЛЫ Рязань'!$W$5-'ПОЛЫ Рязань'!W34)+IFERROR(SEARCH("комп",J34)/SEARCH("комп",J34)*'ПОЛЫ Рязань'!$S$5,'ПОЛЫ Рязань'!T$5)),"нет")</f>
        <v>4875</v>
      </c>
      <c r="T34" s="101">
        <f t="shared" si="1"/>
        <v>536.25</v>
      </c>
      <c r="U34" s="1221"/>
      <c r="V34" s="1229"/>
      <c r="W34" s="1221"/>
      <c r="X34" s="1154"/>
      <c r="Y34" s="1155"/>
      <c r="Z34" s="1156"/>
      <c r="AA34" s="1157"/>
      <c r="AB34" s="2"/>
      <c r="AC34" s="2"/>
    </row>
    <row r="35" spans="1:29" ht="22.5" customHeight="1" thickBot="1" x14ac:dyDescent="0.3">
      <c r="A35" s="751"/>
      <c r="B35" s="203">
        <v>1200</v>
      </c>
      <c r="C35" s="204">
        <v>600</v>
      </c>
      <c r="D35" s="209">
        <v>120</v>
      </c>
      <c r="E35" s="263">
        <v>100</v>
      </c>
      <c r="F35" s="263">
        <v>14.467592592592592</v>
      </c>
      <c r="G35" s="754">
        <v>404607</v>
      </c>
      <c r="H35" s="686" t="s">
        <v>46</v>
      </c>
      <c r="I35" s="1181">
        <f>IF(OR('ПОЛЫ Рязань'!$U$6="Завод 'ТЕХНО' г.Рязань",'ПОЛЫ Рязань'!$U$6="Завод 'ТЕХНО' г.Заинск"),'ПОЛЫ Рязань'!I35,'ПОЛЫ Юрга'!I35)</f>
        <v>96.767999999999986</v>
      </c>
      <c r="J35" s="177">
        <v>331.77600000000007</v>
      </c>
      <c r="K35" s="97">
        <v>2</v>
      </c>
      <c r="L35" s="166">
        <f t="shared" si="2"/>
        <v>1.44</v>
      </c>
      <c r="M35" s="169">
        <f t="shared" si="3"/>
        <v>0.17279999999999998</v>
      </c>
      <c r="N35" s="97">
        <v>40</v>
      </c>
      <c r="O35" s="126">
        <f t="shared" si="4"/>
        <v>6.911999999999999</v>
      </c>
      <c r="P35" s="231">
        <f t="shared" si="5"/>
        <v>76.031999999999982</v>
      </c>
      <c r="Q35" s="266"/>
      <c r="R35" s="88">
        <f t="shared" si="0"/>
        <v>842.39999999999986</v>
      </c>
      <c r="S35" s="786">
        <f>IFERROR(IF(OR('ПОЛЫ Рязань'!$U$6="Завод 'ТЕХНО' г.Рязань",'ПОЛЫ Рязань'!$U$6="Завод 'ТЕХНО' г.Заинск"),IF('ПОЛЫ Рязань'!$U$6="Завод 'ТЕХНО' г.Рязань",'ПОЛЫ Рязань'!S35*(1-'ПОЛЫ Рязань'!$W$5-'ПОЛЫ Рязань'!W35)+IFERROR(SEARCH("комп",J35)/SEARCH("комп",J35)*'ПОЛЫ Рязань'!$S$5,'ПОЛЫ Рязань'!T$5),'ПОЛЫ Заинск'!S35*(1-'ПОЛЫ Рязань'!$W$5-'ПОЛЫ Рязань'!W35)+IFERROR(SEARCH("комп",J35)/SEARCH("комп",J35)*'ПОЛЫ Рязань'!$S$5,'ПОЛЫ Рязань'!T$5)),'ПОЛЫ Юрга'!S35*(1-'ПОЛЫ Рязань'!$W$5-'ПОЛЫ Рязань'!W35)+IFERROR(SEARCH("комп",J35)/SEARCH("комп",J35)*'ПОЛЫ Рязань'!$S$5,'ПОЛЫ Рязань'!T$5)),"нет")</f>
        <v>4875</v>
      </c>
      <c r="T35" s="101">
        <f t="shared" si="1"/>
        <v>585</v>
      </c>
      <c r="U35" s="1221"/>
      <c r="V35" s="1229"/>
      <c r="W35" s="1221"/>
      <c r="X35" s="1154"/>
      <c r="Y35" s="1155"/>
      <c r="Z35" s="1156"/>
      <c r="AA35" s="1157"/>
      <c r="AB35" s="2"/>
      <c r="AC35" s="2"/>
    </row>
    <row r="36" spans="1:29" ht="22.5" customHeight="1" thickBot="1" x14ac:dyDescent="0.3">
      <c r="A36" s="751"/>
      <c r="B36" s="203">
        <v>1200</v>
      </c>
      <c r="C36" s="204">
        <v>600</v>
      </c>
      <c r="D36" s="209">
        <v>130</v>
      </c>
      <c r="E36" s="263">
        <v>100</v>
      </c>
      <c r="F36" s="263">
        <v>14.83855650522317</v>
      </c>
      <c r="G36" s="754">
        <v>404613</v>
      </c>
      <c r="H36" s="686" t="s">
        <v>46</v>
      </c>
      <c r="I36" s="1181">
        <f>IF(OR('ПОЛЫ Рязань'!$U$6="Завод 'ТЕХНО' г.Рязань",'ПОЛЫ Рязань'!$U$6="Завод 'ТЕХНО' г.Заинск"),'ПОЛЫ Рязань'!I36,'ПОЛЫ Юрга'!I36)</f>
        <v>94.348799999999997</v>
      </c>
      <c r="J36" s="177">
        <v>323.48160000000001</v>
      </c>
      <c r="K36" s="97">
        <v>2</v>
      </c>
      <c r="L36" s="166">
        <f t="shared" si="2"/>
        <v>1.44</v>
      </c>
      <c r="M36" s="169">
        <f t="shared" si="3"/>
        <v>0.18719999999999998</v>
      </c>
      <c r="N36" s="97">
        <v>36</v>
      </c>
      <c r="O36" s="126">
        <f t="shared" si="4"/>
        <v>6.7391999999999994</v>
      </c>
      <c r="P36" s="231">
        <f t="shared" si="5"/>
        <v>74.131199999999993</v>
      </c>
      <c r="Q36" s="266"/>
      <c r="R36" s="88">
        <f t="shared" si="0"/>
        <v>912.59999999999991</v>
      </c>
      <c r="S36" s="786">
        <f>IFERROR(IF(OR('ПОЛЫ Рязань'!$U$6="Завод 'ТЕХНО' г.Рязань",'ПОЛЫ Рязань'!$U$6="Завод 'ТЕХНО' г.Заинск"),IF('ПОЛЫ Рязань'!$U$6="Завод 'ТЕХНО' г.Рязань",'ПОЛЫ Рязань'!S36*(1-'ПОЛЫ Рязань'!$W$5-'ПОЛЫ Рязань'!W36)+IFERROR(SEARCH("комп",J36)/SEARCH("комп",J36)*'ПОЛЫ Рязань'!$S$5,'ПОЛЫ Рязань'!T$5),'ПОЛЫ Заинск'!S36*(1-'ПОЛЫ Рязань'!$W$5-'ПОЛЫ Рязань'!W36)+IFERROR(SEARCH("комп",J36)/SEARCH("комп",J36)*'ПОЛЫ Рязань'!$S$5,'ПОЛЫ Рязань'!T$5)),'ПОЛЫ Юрга'!S36*(1-'ПОЛЫ Рязань'!$W$5-'ПОЛЫ Рязань'!W36)+IFERROR(SEARCH("комп",J36)/SEARCH("комп",J36)*'ПОЛЫ Рязань'!$S$5,'ПОЛЫ Рязань'!T$5)),"нет")</f>
        <v>4875</v>
      </c>
      <c r="T36" s="101">
        <f t="shared" si="1"/>
        <v>633.75</v>
      </c>
      <c r="U36" s="1221"/>
      <c r="V36" s="1229"/>
      <c r="W36" s="1221"/>
      <c r="X36" s="1154"/>
      <c r="Y36" s="1155"/>
      <c r="Z36" s="1156"/>
      <c r="AA36" s="1157"/>
      <c r="AB36" s="2"/>
      <c r="AC36" s="2"/>
    </row>
    <row r="37" spans="1:29" ht="22.5" customHeight="1" thickBot="1" x14ac:dyDescent="0.3">
      <c r="A37" s="751"/>
      <c r="B37" s="203">
        <v>1200</v>
      </c>
      <c r="C37" s="204">
        <v>600</v>
      </c>
      <c r="D37" s="209">
        <v>140</v>
      </c>
      <c r="E37" s="263">
        <v>100</v>
      </c>
      <c r="F37" s="263">
        <v>15.500992063492063</v>
      </c>
      <c r="G37" s="754">
        <v>404614</v>
      </c>
      <c r="H37" s="686" t="s">
        <v>46</v>
      </c>
      <c r="I37" s="1181">
        <f>IF(OR('ПОЛЫ Рязань'!$U$6="Завод 'ТЕХНО' г.Рязань",'ПОЛЫ Рязань'!$U$6="Завод 'ТЕХНО' г.Заинск"),'ПОЛЫ Рязань'!I37,'ПОЛЫ Юрга'!I37)</f>
        <v>96.768000000000001</v>
      </c>
      <c r="J37" s="177">
        <v>309.6576</v>
      </c>
      <c r="K37" s="97">
        <v>2</v>
      </c>
      <c r="L37" s="166">
        <f t="shared" si="2"/>
        <v>1.44</v>
      </c>
      <c r="M37" s="169">
        <f t="shared" si="3"/>
        <v>0.2016</v>
      </c>
      <c r="N37" s="97">
        <v>32</v>
      </c>
      <c r="O37" s="126">
        <f t="shared" si="4"/>
        <v>6.4512</v>
      </c>
      <c r="P37" s="231">
        <f t="shared" si="5"/>
        <v>70.963200000000001</v>
      </c>
      <c r="Q37" s="266"/>
      <c r="R37" s="88">
        <f t="shared" si="0"/>
        <v>982.8</v>
      </c>
      <c r="S37" s="786">
        <f>IFERROR(IF(OR('ПОЛЫ Рязань'!$U$6="Завод 'ТЕХНО' г.Рязань",'ПОЛЫ Рязань'!$U$6="Завод 'ТЕХНО' г.Заинск"),IF('ПОЛЫ Рязань'!$U$6="Завод 'ТЕХНО' г.Рязань",'ПОЛЫ Рязань'!S37*(1-'ПОЛЫ Рязань'!$W$5-'ПОЛЫ Рязань'!W37)+IFERROR(SEARCH("комп",J37)/SEARCH("комп",J37)*'ПОЛЫ Рязань'!$S$5,'ПОЛЫ Рязань'!T$5),'ПОЛЫ Заинск'!S37*(1-'ПОЛЫ Рязань'!$W$5-'ПОЛЫ Рязань'!W37)+IFERROR(SEARCH("комп",J37)/SEARCH("комп",J37)*'ПОЛЫ Рязань'!$S$5,'ПОЛЫ Рязань'!T$5)),'ПОЛЫ Юрга'!S37*(1-'ПОЛЫ Рязань'!$W$5-'ПОЛЫ Рязань'!W37)+IFERROR(SEARCH("комп",J37)/SEARCH("комп",J37)*'ПОЛЫ Рязань'!$S$5,'ПОЛЫ Рязань'!T$5)),"нет")</f>
        <v>4875</v>
      </c>
      <c r="T37" s="101">
        <f t="shared" si="1"/>
        <v>682.5</v>
      </c>
      <c r="U37" s="1221"/>
      <c r="V37" s="1229"/>
      <c r="W37" s="1221"/>
      <c r="X37" s="1154"/>
      <c r="Y37" s="1155"/>
      <c r="Z37" s="1156"/>
      <c r="AA37" s="1157"/>
      <c r="AB37" s="2"/>
      <c r="AC37" s="2"/>
    </row>
    <row r="38" spans="1:29" ht="22.5" customHeight="1" thickBot="1" x14ac:dyDescent="0.3">
      <c r="A38" s="751"/>
      <c r="B38" s="203">
        <v>1200</v>
      </c>
      <c r="C38" s="204">
        <v>600</v>
      </c>
      <c r="D38" s="209">
        <v>150</v>
      </c>
      <c r="E38" s="263">
        <v>100</v>
      </c>
      <c r="F38" s="263">
        <v>14.467592592592593</v>
      </c>
      <c r="G38" s="754">
        <v>398624</v>
      </c>
      <c r="H38" s="686" t="s">
        <v>46</v>
      </c>
      <c r="I38" s="1181">
        <f>IF(OR('ПОЛЫ Рязань'!$U$6="Завод 'ТЕХНО' г.Рязань",'ПОЛЫ Рязань'!$U$6="Завод 'ТЕХНО' г.Заинск"),'ПОЛЫ Рязань'!I38,'ПОЛЫ Юрга'!I38)</f>
        <v>96.768000000000001</v>
      </c>
      <c r="J38" s="177">
        <v>331.77600000000001</v>
      </c>
      <c r="K38" s="97">
        <v>2</v>
      </c>
      <c r="L38" s="166">
        <f t="shared" si="2"/>
        <v>1.44</v>
      </c>
      <c r="M38" s="169">
        <f t="shared" si="3"/>
        <v>0.216</v>
      </c>
      <c r="N38" s="97">
        <v>32</v>
      </c>
      <c r="O38" s="126">
        <f t="shared" si="4"/>
        <v>6.9119999999999999</v>
      </c>
      <c r="P38" s="231">
        <f t="shared" si="5"/>
        <v>76.031999999999996</v>
      </c>
      <c r="Q38" s="266"/>
      <c r="R38" s="88">
        <f t="shared" si="0"/>
        <v>1053</v>
      </c>
      <c r="S38" s="786">
        <f>IFERROR(IF(OR('ПОЛЫ Рязань'!$U$6="Завод 'ТЕХНО' г.Рязань",'ПОЛЫ Рязань'!$U$6="Завод 'ТЕХНО' г.Заинск"),IF('ПОЛЫ Рязань'!$U$6="Завод 'ТЕХНО' г.Рязань",'ПОЛЫ Рязань'!S38*(1-'ПОЛЫ Рязань'!$W$5-'ПОЛЫ Рязань'!W38)+IFERROR(SEARCH("комп",J38)/SEARCH("комп",J38)*'ПОЛЫ Рязань'!$S$5,'ПОЛЫ Рязань'!T$5),'ПОЛЫ Заинск'!S38*(1-'ПОЛЫ Рязань'!$W$5-'ПОЛЫ Рязань'!W38)+IFERROR(SEARCH("комп",J38)/SEARCH("комп",J38)*'ПОЛЫ Рязань'!$S$5,'ПОЛЫ Рязань'!T$5)),'ПОЛЫ Юрга'!S38*(1-'ПОЛЫ Рязань'!$W$5-'ПОЛЫ Рязань'!W38)+IFERROR(SEARCH("комп",J38)/SEARCH("комп",J38)*'ПОЛЫ Рязань'!$S$5,'ПОЛЫ Рязань'!T$5)),"нет")</f>
        <v>4875</v>
      </c>
      <c r="T38" s="101">
        <f t="shared" si="1"/>
        <v>731.25</v>
      </c>
      <c r="U38" s="1221"/>
      <c r="V38" s="1229"/>
      <c r="W38" s="1221"/>
      <c r="X38" s="1154"/>
      <c r="Y38" s="1155"/>
      <c r="Z38" s="1156"/>
      <c r="AA38" s="1157"/>
      <c r="AB38" s="2"/>
      <c r="AC38" s="2"/>
    </row>
    <row r="39" spans="1:29" ht="22.5" customHeight="1" thickBot="1" x14ac:dyDescent="0.3">
      <c r="A39" s="752"/>
      <c r="B39" s="240">
        <v>1200</v>
      </c>
      <c r="C39" s="241">
        <v>600</v>
      </c>
      <c r="D39" s="242">
        <v>160</v>
      </c>
      <c r="E39" s="289">
        <v>100</v>
      </c>
      <c r="F39" s="289">
        <v>15.500992063492063</v>
      </c>
      <c r="G39" s="755">
        <v>404616</v>
      </c>
      <c r="H39" s="702" t="s">
        <v>46</v>
      </c>
      <c r="I39" s="1182">
        <f>IF(OR('ПОЛЫ Рязань'!$U$6="Завод 'ТЕХНО' г.Рязань",'ПОЛЫ Рязань'!$U$6="Завод 'ТЕХНО' г.Заинск"),'ПОЛЫ Рязань'!I39,'ПОЛЫ Юрга'!I39)</f>
        <v>96.767999999999986</v>
      </c>
      <c r="J39" s="455">
        <v>309.6576</v>
      </c>
      <c r="K39" s="306">
        <v>2</v>
      </c>
      <c r="L39" s="167">
        <f t="shared" si="2"/>
        <v>1.44</v>
      </c>
      <c r="M39" s="307">
        <f t="shared" si="3"/>
        <v>0.23039999999999997</v>
      </c>
      <c r="N39" s="306">
        <v>28</v>
      </c>
      <c r="O39" s="129">
        <f t="shared" si="4"/>
        <v>6.4511999999999992</v>
      </c>
      <c r="P39" s="260">
        <f t="shared" si="5"/>
        <v>70.963199999999986</v>
      </c>
      <c r="Q39" s="308"/>
      <c r="R39" s="479">
        <f t="shared" si="0"/>
        <v>1123.1999999999998</v>
      </c>
      <c r="S39" s="787">
        <f>IFERROR(IF(OR('ПОЛЫ Рязань'!$U$6="Завод 'ТЕХНО' г.Рязань",'ПОЛЫ Рязань'!$U$6="Завод 'ТЕХНО' г.Заинск"),IF('ПОЛЫ Рязань'!$U$6="Завод 'ТЕХНО' г.Рязань",'ПОЛЫ Рязань'!S39*(1-'ПОЛЫ Рязань'!$W$5-'ПОЛЫ Рязань'!W39)+IFERROR(SEARCH("комп",J39)/SEARCH("комп",J39)*'ПОЛЫ Рязань'!$S$5,'ПОЛЫ Рязань'!T$5),'ПОЛЫ Заинск'!S39*(1-'ПОЛЫ Рязань'!$W$5-'ПОЛЫ Рязань'!W39)+IFERROR(SEARCH("комп",J39)/SEARCH("комп",J39)*'ПОЛЫ Рязань'!$S$5,'ПОЛЫ Рязань'!T$5)),'ПОЛЫ Юрга'!S39*(1-'ПОЛЫ Рязань'!$W$5-'ПОЛЫ Рязань'!W39)+IFERROR(SEARCH("комп",J39)/SEARCH("комп",J39)*'ПОЛЫ Рязань'!$S$5,'ПОЛЫ Рязань'!T$5)),"нет")</f>
        <v>4875</v>
      </c>
      <c r="T39" s="102">
        <f t="shared" si="1"/>
        <v>780</v>
      </c>
      <c r="U39" s="1221"/>
      <c r="V39" s="1229"/>
      <c r="W39" s="1221"/>
      <c r="X39" s="1154"/>
      <c r="Y39" s="1155"/>
      <c r="Z39" s="1156"/>
      <c r="AA39" s="1157"/>
      <c r="AB39" s="2"/>
      <c r="AC39" s="2"/>
    </row>
    <row r="40" spans="1:29" ht="22.5" hidden="1" customHeight="1" thickBot="1" x14ac:dyDescent="0.3">
      <c r="A40" s="751"/>
      <c r="B40" s="249">
        <v>1200</v>
      </c>
      <c r="C40" s="287">
        <v>600</v>
      </c>
      <c r="D40" s="288">
        <v>170</v>
      </c>
      <c r="E40" s="319">
        <v>100</v>
      </c>
      <c r="F40" s="319">
        <v>14.589169000933706</v>
      </c>
      <c r="G40" s="753">
        <v>372626</v>
      </c>
      <c r="H40" s="706" t="s">
        <v>46</v>
      </c>
      <c r="I40" s="1183">
        <f>IF(OR('ПОЛЫ Рязань'!$U$6="Завод 'ТЕХНО' г.Рязань",'ПОЛЫ Рязань'!$U$6="Завод 'ТЕХНО' г.Заинск"),'ПОЛЫ Рязань'!I40,'ПОЛЫ Юрга'!I40)</f>
        <v>95.961600000000004</v>
      </c>
      <c r="J40" s="178">
        <v>329.01120000000003</v>
      </c>
      <c r="K40" s="320">
        <v>2</v>
      </c>
      <c r="L40" s="168">
        <f t="shared" si="2"/>
        <v>1.44</v>
      </c>
      <c r="M40" s="265">
        <f t="shared" si="3"/>
        <v>0.24479999999999999</v>
      </c>
      <c r="N40" s="320">
        <v>28</v>
      </c>
      <c r="O40" s="132">
        <f t="shared" si="4"/>
        <v>6.8544</v>
      </c>
      <c r="P40" s="223">
        <f t="shared" si="5"/>
        <v>75.398399999999995</v>
      </c>
      <c r="Q40" s="612"/>
      <c r="R40" s="88">
        <f t="shared" si="0"/>
        <v>1081.5264</v>
      </c>
      <c r="S40" s="786">
        <f>IFERROR(IF(OR('ПОЛЫ Рязань'!$U$6="Завод 'ТЕХНО' г.Рязань",'ПОЛЫ Рязань'!$U$6="Завод 'ТЕХНО' г.Заинск"),IF('ПОЛЫ Рязань'!$U$6="Завод 'ТЕХНО' г.Рязань",'ПОЛЫ Рязань'!S40*(1-'ПОЛЫ Рязань'!$W$5-'ПОЛЫ Рязань'!W40)+IFERROR(SEARCH("комп",J40)/SEARCH("комп",J40)*'ПОЛЫ Рязань'!$S$5,'ПОЛЫ Рязань'!T$5),'ПОЛЫ Заинск'!S40*(1-'ПОЛЫ Рязань'!$W$5-'ПОЛЫ Рязань'!W40)+IFERROR(SEARCH("комп",J40)/SEARCH("комп",J40)*'ПОЛЫ Рязань'!$S$5,'ПОЛЫ Рязань'!T$5)),'ПОЛЫ Юрга'!S40*(1-'ПОЛЫ Рязань'!$W$5-'ПОЛЫ Рязань'!W40)+IFERROR(SEARCH("комп",J40)/SEARCH("комп",J40)*'ПОЛЫ Рязань'!$S$5,'ПОЛЫ Рязань'!T$5)),"нет")</f>
        <v>4418</v>
      </c>
      <c r="T40" s="101">
        <f t="shared" si="1"/>
        <v>751.06</v>
      </c>
      <c r="U40" s="1221"/>
      <c r="V40" s="1229"/>
      <c r="W40" s="1221"/>
      <c r="X40" s="1154"/>
      <c r="Y40" s="1155"/>
      <c r="Z40" s="1156"/>
      <c r="AA40" s="1157"/>
      <c r="AB40" s="2"/>
      <c r="AC40" s="2"/>
    </row>
    <row r="41" spans="1:29" ht="22.5" hidden="1" customHeight="1" thickBot="1" x14ac:dyDescent="0.3">
      <c r="A41" s="752"/>
      <c r="B41" s="240">
        <v>1200</v>
      </c>
      <c r="C41" s="241">
        <v>600</v>
      </c>
      <c r="D41" s="242">
        <v>180</v>
      </c>
      <c r="E41" s="289">
        <v>100</v>
      </c>
      <c r="F41" s="289">
        <v>16.075102880658438</v>
      </c>
      <c r="G41" s="755">
        <v>404619</v>
      </c>
      <c r="H41" s="702" t="s">
        <v>46</v>
      </c>
      <c r="I41" s="1181">
        <f>IF(OR('ПОЛЫ Рязань'!$U$6="Завод 'ТЕХНО' г.Рязань",'ПОЛЫ Рязань'!$U$6="Завод 'ТЕХНО' г.Заинск"),'ПОЛЫ Рязань'!I41,'ПОЛЫ Юрга'!I41)</f>
        <v>93.311999999999998</v>
      </c>
      <c r="J41" s="455">
        <v>298.59839999999997</v>
      </c>
      <c r="K41" s="306">
        <v>2</v>
      </c>
      <c r="L41" s="167">
        <f t="shared" si="2"/>
        <v>1.44</v>
      </c>
      <c r="M41" s="307">
        <f t="shared" si="3"/>
        <v>0.25919999999999999</v>
      </c>
      <c r="N41" s="306">
        <v>24</v>
      </c>
      <c r="O41" s="129">
        <f t="shared" si="4"/>
        <v>6.2207999999999997</v>
      </c>
      <c r="P41" s="260">
        <f t="shared" si="5"/>
        <v>68.428799999999995</v>
      </c>
      <c r="Q41" s="308"/>
      <c r="R41" s="88">
        <f t="shared" si="0"/>
        <v>1145.1455999999998</v>
      </c>
      <c r="S41" s="786">
        <f>IFERROR(IF(OR('ПОЛЫ Рязань'!$U$6="Завод 'ТЕХНО' г.Рязань",'ПОЛЫ Рязань'!$U$6="Завод 'ТЕХНО' г.Заинск"),IF('ПОЛЫ Рязань'!$U$6="Завод 'ТЕХНО' г.Рязань",'ПОЛЫ Рязань'!S41*(1-'ПОЛЫ Рязань'!$W$5-'ПОЛЫ Рязань'!W41)+IFERROR(SEARCH("комп",J41)/SEARCH("комп",J41)*'ПОЛЫ Рязань'!$S$5,'ПОЛЫ Рязань'!T$5),'ПОЛЫ Заинск'!S41*(1-'ПОЛЫ Рязань'!$W$5-'ПОЛЫ Рязань'!W41)+IFERROR(SEARCH("комп",J41)/SEARCH("комп",J41)*'ПОЛЫ Рязань'!$S$5,'ПОЛЫ Рязань'!T$5)),'ПОЛЫ Юрга'!S41*(1-'ПОЛЫ Рязань'!$W$5-'ПОЛЫ Рязань'!W41)+IFERROR(SEARCH("комп",J41)/SEARCH("комп",J41)*'ПОЛЫ Рязань'!$S$5,'ПОЛЫ Рязань'!T$5)),"нет")</f>
        <v>4418</v>
      </c>
      <c r="T41" s="101">
        <f t="shared" si="1"/>
        <v>795.24</v>
      </c>
      <c r="U41" s="1221"/>
      <c r="V41" s="1229"/>
      <c r="W41" s="1221"/>
      <c r="X41" s="1154"/>
      <c r="Y41" s="1155"/>
      <c r="Z41" s="1156"/>
      <c r="AA41" s="1157"/>
      <c r="AB41" s="2"/>
      <c r="AC41" s="2"/>
    </row>
    <row r="42" spans="1:29" ht="22.5" customHeight="1" thickBot="1" x14ac:dyDescent="0.3">
      <c r="A42" s="35" t="s">
        <v>471</v>
      </c>
      <c r="B42" s="252">
        <v>1200</v>
      </c>
      <c r="C42" s="250">
        <v>600</v>
      </c>
      <c r="D42" s="251">
        <v>40</v>
      </c>
      <c r="E42" s="277"/>
      <c r="F42" s="278"/>
      <c r="G42" s="756">
        <v>387498</v>
      </c>
      <c r="H42" s="686" t="s">
        <v>339</v>
      </c>
      <c r="I42" s="1181">
        <f>IF(OR('ПОЛЫ Рязань'!$U$6="Завод 'ТЕХНО' г.Рязань",'ПОЛЫ Рязань'!$U$6="Завод 'ТЕХНО' г.Заинск"),'ПОЛЫ Рязань'!I42,'ПОЛЫ Юрга'!I42)</f>
        <v>63.359999999999992</v>
      </c>
      <c r="J42" s="280"/>
      <c r="K42" s="281">
        <v>5</v>
      </c>
      <c r="L42" s="166">
        <f t="shared" si="2"/>
        <v>3.6</v>
      </c>
      <c r="M42" s="169">
        <f t="shared" si="3"/>
        <v>0.14399999999999999</v>
      </c>
      <c r="N42" s="97">
        <v>44</v>
      </c>
      <c r="O42" s="126">
        <f t="shared" si="4"/>
        <v>6.3359999999999994</v>
      </c>
      <c r="P42" s="231">
        <f t="shared" si="5"/>
        <v>69.695999999999998</v>
      </c>
      <c r="Q42" s="285"/>
      <c r="R42" s="88">
        <f t="shared" si="0"/>
        <v>1211.328</v>
      </c>
      <c r="S42" s="786">
        <f>IFERROR(IF(OR('ПОЛЫ Рязань'!$U$6="Завод 'ТЕХНО' г.Рязань",'ПОЛЫ Рязань'!$U$6="Завод 'ТЕХНО' г.Заинск"),IF('ПОЛЫ Рязань'!$U$6="Завод 'ТЕХНО' г.Рязань",'ПОЛЫ Рязань'!S42*(1-'ПОЛЫ Рязань'!$W$5-'ПОЛЫ Рязань'!W42)+IFERROR(SEARCH("комп",J42)/SEARCH("комп",J42)*'ПОЛЫ Рязань'!$S$5,'ПОЛЫ Рязань'!T$5),'ПОЛЫ Заинск'!S42*(1-'ПОЛЫ Рязань'!$W$5-'ПОЛЫ Рязань'!W42)+IFERROR(SEARCH("комп",J42)/SEARCH("комп",J42)*'ПОЛЫ Рязань'!$S$5,'ПОЛЫ Рязань'!T$5)),'ПОЛЫ Юрга'!S42*(1-'ПОЛЫ Рязань'!$W$5-'ПОЛЫ Рязань'!W42)+IFERROR(SEARCH("комп",J42)/SEARCH("комп",J42)*'ПОЛЫ Рязань'!$S$5,'ПОЛЫ Рязань'!T$5)),"нет")</f>
        <v>8412</v>
      </c>
      <c r="T42" s="101">
        <f t="shared" si="1"/>
        <v>336.48</v>
      </c>
      <c r="U42" s="1221"/>
      <c r="V42" s="1229"/>
      <c r="W42" s="1221"/>
      <c r="X42" s="1154"/>
      <c r="Y42" s="1155"/>
      <c r="Z42" s="1156"/>
      <c r="AA42" s="1157"/>
      <c r="AB42" s="82"/>
      <c r="AC42" s="650"/>
    </row>
    <row r="43" spans="1:29" ht="22.5" customHeight="1" thickBot="1" x14ac:dyDescent="0.3">
      <c r="A43" s="2"/>
      <c r="B43" s="203">
        <v>1200</v>
      </c>
      <c r="C43" s="287">
        <v>600</v>
      </c>
      <c r="D43" s="288">
        <v>50</v>
      </c>
      <c r="E43" s="289"/>
      <c r="F43" s="263"/>
      <c r="G43" s="757">
        <v>354766</v>
      </c>
      <c r="H43" s="604" t="s">
        <v>46</v>
      </c>
      <c r="I43" s="1181">
        <f>IF(OR('ПОЛЫ Рязань'!$U$6="Завод 'ТЕХНО' г.Рязань",'ПОЛЫ Рязань'!$U$6="Завод 'ТЕХНО' г.Заинск"),'ПОЛЫ Рязань'!I43,'ПОЛЫ Юрга'!I43)</f>
        <v>64.8</v>
      </c>
      <c r="J43" s="291"/>
      <c r="K43" s="97">
        <v>5</v>
      </c>
      <c r="L43" s="166">
        <f t="shared" si="2"/>
        <v>3.6</v>
      </c>
      <c r="M43" s="169">
        <f t="shared" si="3"/>
        <v>0.18</v>
      </c>
      <c r="N43" s="97">
        <v>36</v>
      </c>
      <c r="O43" s="126">
        <f t="shared" si="4"/>
        <v>6.4799999999999995</v>
      </c>
      <c r="P43" s="231">
        <f t="shared" si="5"/>
        <v>71.28</v>
      </c>
      <c r="Q43" s="266"/>
      <c r="R43" s="88">
        <f t="shared" si="0"/>
        <v>1514.1599999999999</v>
      </c>
      <c r="S43" s="786">
        <f>IFERROR(IF(OR('ПОЛЫ Рязань'!$U$6="Завод 'ТЕХНО' г.Рязань",'ПОЛЫ Рязань'!$U$6="Завод 'ТЕХНО' г.Заинск"),IF('ПОЛЫ Рязань'!$U$6="Завод 'ТЕХНО' г.Рязань",'ПОЛЫ Рязань'!S43*(1-'ПОЛЫ Рязань'!$W$5-'ПОЛЫ Рязань'!W43)+IFERROR(SEARCH("комп",J43)/SEARCH("комп",J43)*'ПОЛЫ Рязань'!$S$5,'ПОЛЫ Рязань'!T$5),'ПОЛЫ Заинск'!S43*(1-'ПОЛЫ Рязань'!$W$5-'ПОЛЫ Рязань'!W43)+IFERROR(SEARCH("комп",J43)/SEARCH("комп",J43)*'ПОЛЫ Рязань'!$S$5,'ПОЛЫ Рязань'!T$5)),'ПОЛЫ Юрга'!S43*(1-'ПОЛЫ Рязань'!$W$5-'ПОЛЫ Рязань'!W43)+IFERROR(SEARCH("комп",J43)/SEARCH("комп",J43)*'ПОЛЫ Рязань'!$S$5,'ПОЛЫ Рязань'!T$5)),"нет")</f>
        <v>8412</v>
      </c>
      <c r="T43" s="101">
        <f t="shared" si="1"/>
        <v>420.6</v>
      </c>
      <c r="U43" s="1221"/>
      <c r="V43" s="1229"/>
      <c r="W43" s="1221"/>
      <c r="X43" s="1154"/>
      <c r="Y43" s="1155"/>
      <c r="Z43" s="1156"/>
      <c r="AA43" s="1157"/>
      <c r="AB43" s="82"/>
      <c r="AC43" s="650"/>
    </row>
    <row r="44" spans="1:29" ht="22.5" customHeight="1" thickBot="1" x14ac:dyDescent="0.3">
      <c r="A44" s="759" t="s">
        <v>472</v>
      </c>
      <c r="B44" s="292"/>
      <c r="C44" s="293"/>
      <c r="D44" s="294"/>
      <c r="E44" s="289"/>
      <c r="F44" s="289"/>
      <c r="G44" s="758"/>
      <c r="H44" s="605"/>
      <c r="I44" s="593"/>
      <c r="J44" s="297"/>
      <c r="K44" s="298"/>
      <c r="L44" s="299"/>
      <c r="M44" s="300"/>
      <c r="N44" s="301"/>
      <c r="O44" s="299"/>
      <c r="P44" s="260"/>
      <c r="Q44" s="302"/>
      <c r="R44" s="303"/>
      <c r="S44" s="855"/>
      <c r="T44" s="305"/>
      <c r="X44" s="1085"/>
      <c r="Y44" s="1085"/>
      <c r="Z44" s="1037"/>
      <c r="AA44" s="1038"/>
      <c r="AB44" s="82"/>
      <c r="AC44" s="649"/>
    </row>
    <row r="45" spans="1:29" ht="20.100000000000001" customHeight="1" x14ac:dyDescent="0.25">
      <c r="A45" s="18"/>
      <c r="B45" s="134"/>
      <c r="C45" s="134"/>
      <c r="D45" s="134"/>
      <c r="E45" s="138"/>
      <c r="F45" s="138"/>
      <c r="G45" s="138"/>
      <c r="H45" s="138"/>
      <c r="I45" s="138"/>
      <c r="J45" s="138"/>
      <c r="K45" s="135"/>
      <c r="L45" s="134"/>
      <c r="M45" s="261"/>
      <c r="N45" s="135"/>
      <c r="O45" s="137"/>
      <c r="P45" s="134"/>
      <c r="Q45" s="261"/>
      <c r="R45" s="134"/>
      <c r="S45" s="134"/>
      <c r="T45" s="134"/>
      <c r="X45" s="134"/>
      <c r="Y45" s="134"/>
      <c r="Z45" s="1039"/>
    </row>
    <row r="46" spans="1:29" ht="18.75" customHeight="1" x14ac:dyDescent="0.25">
      <c r="A46" s="1" t="s">
        <v>7</v>
      </c>
      <c r="E46" s="2"/>
      <c r="F46" s="2"/>
      <c r="G46" s="2"/>
      <c r="H46" s="2"/>
      <c r="I46" s="2"/>
      <c r="J46" s="2"/>
      <c r="P46" s="1275"/>
      <c r="Q46" s="1275"/>
      <c r="R46" s="1275"/>
      <c r="S46" s="1275"/>
      <c r="T46" s="1275"/>
      <c r="X46" s="924"/>
      <c r="Y46" s="924"/>
      <c r="Z46" s="1034"/>
      <c r="AA46" s="953"/>
      <c r="AB46" s="2"/>
      <c r="AC46" s="2"/>
    </row>
    <row r="47" spans="1:29" s="32" customFormat="1" ht="20.100000000000001" customHeight="1" x14ac:dyDescent="0.25">
      <c r="A47" s="471" t="s">
        <v>423</v>
      </c>
      <c r="K47" s="33"/>
      <c r="M47" s="34"/>
      <c r="N47" s="33"/>
      <c r="O47" s="59"/>
      <c r="P47" s="1244"/>
      <c r="Q47" s="1244"/>
      <c r="R47" s="1244"/>
      <c r="S47" s="1244"/>
      <c r="T47" s="1244"/>
      <c r="X47" s="920"/>
      <c r="Y47" s="920"/>
      <c r="Z47" s="1027"/>
      <c r="AA47" s="953"/>
    </row>
    <row r="48" spans="1:29" ht="20.100000000000001" customHeight="1" x14ac:dyDescent="0.25">
      <c r="A48" s="26" t="s">
        <v>438</v>
      </c>
      <c r="E48" s="2"/>
      <c r="F48" s="2"/>
      <c r="G48" s="2"/>
      <c r="H48" s="2"/>
      <c r="I48" s="2"/>
      <c r="J48" s="2"/>
      <c r="P48" s="1244"/>
      <c r="Q48" s="1244"/>
      <c r="R48" s="1244"/>
      <c r="S48" s="1244"/>
      <c r="T48" s="1244"/>
      <c r="X48" s="920"/>
      <c r="Y48" s="920"/>
      <c r="Z48" s="1027"/>
      <c r="AA48" s="953"/>
      <c r="AB48" s="2"/>
      <c r="AC48" s="2"/>
    </row>
    <row r="49" spans="1:29" ht="20.100000000000001" customHeight="1" x14ac:dyDescent="0.25">
      <c r="A49" s="26" t="s">
        <v>24</v>
      </c>
      <c r="E49" s="2"/>
      <c r="F49" s="2"/>
      <c r="G49" s="2"/>
      <c r="H49" s="2"/>
      <c r="I49" s="2"/>
      <c r="J49" s="2"/>
      <c r="P49" s="1245"/>
      <c r="Q49" s="1245"/>
      <c r="R49" s="1245"/>
      <c r="S49" s="1245"/>
      <c r="T49" s="1245"/>
      <c r="X49" s="921"/>
      <c r="Y49" s="921"/>
      <c r="Z49" s="1028"/>
      <c r="AA49" s="953"/>
      <c r="AB49" s="2"/>
      <c r="AC49" s="2"/>
    </row>
    <row r="50" spans="1:29" ht="20.100000000000001" customHeight="1" x14ac:dyDescent="0.25">
      <c r="A50" s="26" t="s">
        <v>52</v>
      </c>
      <c r="E50" s="2"/>
      <c r="F50" s="2"/>
      <c r="G50" s="2"/>
      <c r="H50" s="2"/>
      <c r="I50" s="2"/>
      <c r="J50" s="2"/>
      <c r="R50" s="1245"/>
      <c r="S50" s="1245"/>
      <c r="T50" s="1245"/>
      <c r="X50" s="921"/>
      <c r="Y50" s="921"/>
      <c r="Z50" s="1028"/>
      <c r="AA50" s="953"/>
      <c r="AB50" s="2"/>
      <c r="AC50" s="2"/>
    </row>
    <row r="51" spans="1:29" ht="20.100000000000001" customHeight="1" x14ac:dyDescent="0.25">
      <c r="A51" s="30" t="s">
        <v>541</v>
      </c>
      <c r="E51" s="2"/>
      <c r="F51" s="4"/>
      <c r="G51" s="2"/>
      <c r="H51" s="2"/>
      <c r="I51" s="2"/>
      <c r="J51" s="5"/>
      <c r="L51" s="56"/>
      <c r="AA51" s="953"/>
      <c r="AB51" s="2"/>
      <c r="AC51" s="2"/>
    </row>
    <row r="52" spans="1:29" ht="20.100000000000001" customHeight="1" x14ac:dyDescent="0.25">
      <c r="A52" s="30" t="str">
        <f>'Лайт+АКУСТИК DDP'!A78</f>
        <v>Б - отгрузка в течение 3 дней (заявки принимаются в любом количестве, кратно пачке).</v>
      </c>
      <c r="E52" s="2"/>
      <c r="F52" s="4"/>
      <c r="G52" s="2"/>
      <c r="H52" s="2"/>
      <c r="I52" s="2"/>
      <c r="J52" s="5"/>
      <c r="L52" s="56"/>
      <c r="AA52" s="953"/>
      <c r="AB52" s="2"/>
      <c r="AC52" s="2"/>
    </row>
    <row r="53" spans="1:29" ht="20.100000000000001" customHeight="1" x14ac:dyDescent="0.25">
      <c r="A53" s="30" t="str">
        <f>'Лайт+АКУСТИК DDP'!A79</f>
        <v>Категория "С" - это товары "под заказ", и сроки индивидуально оговариваются с клиентом (заявки принимаются в объеме не менее 10 тонн, кратно поддону)</v>
      </c>
      <c r="E53" s="2"/>
      <c r="F53" s="4"/>
      <c r="G53" s="2"/>
      <c r="H53" s="2"/>
      <c r="I53" s="2"/>
      <c r="J53" s="5"/>
      <c r="L53" s="56"/>
      <c r="AA53" s="953"/>
      <c r="AB53" s="2"/>
      <c r="AC53" s="2"/>
    </row>
    <row r="54" spans="1:29" ht="20.100000000000001" customHeight="1" x14ac:dyDescent="0.25">
      <c r="A54" s="31"/>
      <c r="E54" s="2"/>
      <c r="F54" s="2"/>
      <c r="G54" s="2"/>
      <c r="H54" s="2"/>
      <c r="I54" s="2"/>
      <c r="J54" s="2"/>
      <c r="AA54" s="953"/>
      <c r="AB54" s="2"/>
      <c r="AC54" s="2"/>
    </row>
    <row r="55" spans="1:29" ht="20.100000000000001" customHeight="1" x14ac:dyDescent="0.25">
      <c r="E55" s="2"/>
      <c r="F55" s="2"/>
      <c r="G55" s="2"/>
      <c r="H55" s="2"/>
      <c r="I55" s="2"/>
      <c r="J55" s="2"/>
      <c r="AA55" s="953"/>
      <c r="AB55" s="2"/>
      <c r="AC55" s="2"/>
    </row>
    <row r="56" spans="1:29" ht="19.5" customHeight="1" x14ac:dyDescent="0.25">
      <c r="A56" s="2"/>
      <c r="E56" s="2"/>
      <c r="F56" s="2"/>
      <c r="G56" s="2"/>
      <c r="H56" s="2"/>
      <c r="I56" s="2"/>
      <c r="J56" s="2"/>
      <c r="AA56" s="953"/>
      <c r="AB56" s="2"/>
      <c r="AC56" s="2"/>
    </row>
    <row r="57" spans="1:29" ht="20.100000000000001" customHeight="1" x14ac:dyDescent="0.25">
      <c r="A57" s="2"/>
      <c r="E57" s="2"/>
      <c r="F57" s="2"/>
      <c r="G57" s="2"/>
      <c r="H57" s="2"/>
      <c r="I57" s="2"/>
      <c r="J57" s="2"/>
      <c r="AA57" s="953"/>
      <c r="AB57" s="2"/>
      <c r="AC57" s="2"/>
    </row>
    <row r="58" spans="1:29" ht="20.100000000000001" customHeight="1" x14ac:dyDescent="0.25">
      <c r="A58" s="2"/>
      <c r="C58" s="19"/>
      <c r="D58" s="20"/>
      <c r="E58" s="20"/>
      <c r="F58" s="20"/>
      <c r="G58" s="20"/>
      <c r="H58" s="20"/>
      <c r="I58" s="20"/>
      <c r="J58" s="20"/>
      <c r="K58" s="21"/>
      <c r="L58" s="20"/>
      <c r="M58" s="22"/>
      <c r="N58" s="69"/>
      <c r="O58" s="60"/>
      <c r="P58" s="20"/>
      <c r="Q58" s="22"/>
      <c r="R58" s="22"/>
      <c r="S58" s="22"/>
      <c r="T58" s="22"/>
      <c r="X58" s="22"/>
      <c r="Y58" s="22"/>
      <c r="Z58" s="1030"/>
      <c r="AA58" s="953"/>
      <c r="AB58" s="2"/>
      <c r="AC58" s="2"/>
    </row>
    <row r="59" spans="1:29" ht="20.100000000000001" customHeight="1" x14ac:dyDescent="0.25">
      <c r="C59" s="23"/>
      <c r="D59" s="20"/>
      <c r="E59" s="20"/>
      <c r="F59" s="20"/>
      <c r="G59" s="20"/>
      <c r="H59" s="20"/>
      <c r="I59" s="20"/>
      <c r="J59" s="20"/>
      <c r="K59" s="21"/>
      <c r="L59" s="20"/>
      <c r="M59" s="24"/>
      <c r="N59" s="70"/>
      <c r="O59" s="60"/>
      <c r="P59" s="20"/>
      <c r="Q59" s="24"/>
      <c r="R59" s="24"/>
      <c r="S59" s="24"/>
      <c r="T59" s="24"/>
      <c r="X59" s="24"/>
      <c r="Y59" s="24"/>
      <c r="Z59" s="1031"/>
      <c r="AA59" s="953"/>
      <c r="AB59" s="2"/>
      <c r="AC59" s="2"/>
    </row>
    <row r="60" spans="1:29" ht="20.100000000000001" customHeight="1" x14ac:dyDescent="0.25">
      <c r="C60" s="23"/>
      <c r="D60" s="20"/>
      <c r="E60" s="20"/>
      <c r="F60" s="20"/>
      <c r="G60" s="20"/>
      <c r="H60" s="20"/>
      <c r="I60" s="20"/>
      <c r="J60" s="20"/>
      <c r="K60" s="21"/>
      <c r="L60" s="20"/>
      <c r="M60" s="24"/>
      <c r="N60" s="70"/>
      <c r="O60" s="60"/>
      <c r="P60" s="20"/>
      <c r="Q60" s="24"/>
      <c r="R60" s="24"/>
      <c r="S60" s="24"/>
      <c r="T60" s="24"/>
      <c r="X60" s="24"/>
      <c r="Y60" s="24"/>
      <c r="Z60" s="1031"/>
      <c r="AA60" s="953"/>
      <c r="AB60" s="2"/>
      <c r="AC60" s="2"/>
    </row>
    <row r="62" spans="1:29" x14ac:dyDescent="0.25">
      <c r="B62" s="25"/>
    </row>
    <row r="68" spans="1:30" s="86" customFormat="1" x14ac:dyDescent="0.25">
      <c r="A68" s="3"/>
      <c r="B68" s="2"/>
      <c r="C68" s="2"/>
      <c r="D68" s="2"/>
      <c r="E68" s="71"/>
      <c r="F68" s="71"/>
      <c r="G68" s="71"/>
      <c r="H68" s="71"/>
      <c r="I68" s="71"/>
      <c r="J68" s="71"/>
      <c r="K68" s="4"/>
      <c r="L68" s="2"/>
      <c r="M68" s="5"/>
      <c r="N68" s="4"/>
      <c r="O68" s="56"/>
      <c r="P68" s="2"/>
      <c r="Q68" s="5"/>
      <c r="R68" s="2"/>
      <c r="S68" s="2"/>
      <c r="T68" s="2"/>
      <c r="X68" s="2"/>
      <c r="Y68" s="2"/>
      <c r="Z68" s="745"/>
      <c r="AA68" s="1035"/>
      <c r="AB68" s="79"/>
      <c r="AC68"/>
      <c r="AD68" s="2"/>
    </row>
    <row r="69" spans="1:30" s="86" customFormat="1" x14ac:dyDescent="0.25">
      <c r="A69" s="3"/>
      <c r="B69" s="2"/>
      <c r="C69" s="2"/>
      <c r="D69" s="2"/>
      <c r="E69" s="71"/>
      <c r="F69" s="71"/>
      <c r="G69" s="71"/>
      <c r="H69" s="71"/>
      <c r="I69" s="71"/>
      <c r="J69" s="71"/>
      <c r="K69" s="4"/>
      <c r="L69" s="2"/>
      <c r="M69" s="5"/>
      <c r="N69" s="4"/>
      <c r="O69" s="56"/>
      <c r="P69" s="2"/>
      <c r="Q69" s="5"/>
      <c r="R69" s="2"/>
      <c r="S69" s="2"/>
      <c r="T69" s="2"/>
      <c r="X69" s="2"/>
      <c r="Y69" s="2"/>
      <c r="Z69" s="745"/>
      <c r="AA69" s="1035"/>
      <c r="AB69" s="79"/>
      <c r="AC69"/>
      <c r="AD69" s="2"/>
    </row>
    <row r="70" spans="1:30" s="86" customFormat="1" x14ac:dyDescent="0.25">
      <c r="A70" s="3"/>
      <c r="B70" s="2"/>
      <c r="C70" s="2"/>
      <c r="D70" s="2"/>
      <c r="E70" s="71"/>
      <c r="F70" s="71"/>
      <c r="G70" s="71"/>
      <c r="H70" s="71"/>
      <c r="I70" s="71"/>
      <c r="J70" s="71"/>
      <c r="K70" s="4"/>
      <c r="L70" s="2"/>
      <c r="M70" s="5"/>
      <c r="N70" s="4"/>
      <c r="O70" s="56"/>
      <c r="P70" s="2"/>
      <c r="Q70" s="5"/>
      <c r="R70" s="2"/>
      <c r="S70" s="2"/>
      <c r="T70" s="2"/>
      <c r="X70" s="2"/>
      <c r="Y70" s="2"/>
      <c r="Z70" s="745"/>
      <c r="AA70" s="1035"/>
      <c r="AB70" s="79"/>
      <c r="AC70"/>
      <c r="AD70" s="2"/>
    </row>
    <row r="71" spans="1:30" s="86" customFormat="1" x14ac:dyDescent="0.25">
      <c r="A71" s="3"/>
      <c r="B71" s="2"/>
      <c r="C71" s="2"/>
      <c r="D71" s="2"/>
      <c r="E71" s="71"/>
      <c r="F71" s="71"/>
      <c r="G71" s="71"/>
      <c r="H71" s="71"/>
      <c r="I71" s="71"/>
      <c r="J71" s="71"/>
      <c r="K71" s="4"/>
      <c r="L71" s="2"/>
      <c r="M71" s="5"/>
      <c r="N71" s="4"/>
      <c r="O71" s="56"/>
      <c r="P71" s="2"/>
      <c r="Q71" s="5"/>
      <c r="R71" s="2"/>
      <c r="S71" s="2"/>
      <c r="T71" s="2"/>
      <c r="X71" s="2"/>
      <c r="Y71" s="2"/>
      <c r="Z71" s="745"/>
      <c r="AA71" s="1035"/>
      <c r="AB71" s="79"/>
      <c r="AC71"/>
      <c r="AD71" s="2"/>
    </row>
    <row r="74" spans="1:30" s="86" customFormat="1" x14ac:dyDescent="0.25">
      <c r="A74" s="3"/>
      <c r="B74" s="2"/>
      <c r="C74" s="2"/>
      <c r="D74" s="2"/>
      <c r="E74" s="71"/>
      <c r="F74" s="71"/>
      <c r="G74" s="71"/>
      <c r="H74" s="71"/>
      <c r="I74" s="71"/>
      <c r="J74" s="71"/>
      <c r="K74" s="4"/>
      <c r="L74" s="2"/>
      <c r="M74" s="5"/>
      <c r="N74" s="4"/>
      <c r="O74" s="56"/>
      <c r="P74" s="2"/>
      <c r="Q74" s="5"/>
      <c r="R74" s="2"/>
      <c r="S74" s="2"/>
      <c r="T74" s="2"/>
      <c r="X74" s="2"/>
      <c r="Y74" s="2"/>
      <c r="Z74" s="745"/>
      <c r="AA74" s="1035"/>
      <c r="AB74" s="79"/>
      <c r="AC74"/>
      <c r="AD74" s="2"/>
    </row>
  </sheetData>
  <mergeCells count="19">
    <mergeCell ref="B3:N3"/>
    <mergeCell ref="P46:T46"/>
    <mergeCell ref="P47:T47"/>
    <mergeCell ref="P48:T48"/>
    <mergeCell ref="G6:G7"/>
    <mergeCell ref="H6:H7"/>
    <mergeCell ref="I6:I7"/>
    <mergeCell ref="J6:J7"/>
    <mergeCell ref="R50:T50"/>
    <mergeCell ref="K6:M6"/>
    <mergeCell ref="N6:O6"/>
    <mergeCell ref="P6:Q6"/>
    <mergeCell ref="R6:T6"/>
    <mergeCell ref="P49:T49"/>
    <mergeCell ref="A6:A7"/>
    <mergeCell ref="B6:B7"/>
    <mergeCell ref="C6:C7"/>
    <mergeCell ref="D6:D7"/>
    <mergeCell ref="E6:E7"/>
  </mergeCells>
  <printOptions horizontalCentered="1"/>
  <pageMargins left="0.19685039370078741" right="0.19685039370078741" top="0.39370078740157483" bottom="0" header="0" footer="0"/>
  <pageSetup paperSize="9" scale="43" orientation="portrait" verticalDpi="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7105" r:id="rId4" name="Drop Down 1">
              <controlPr defaultSize="0" autoLine="0" autoPict="0">
                <anchor moveWithCells="1">
                  <from>
                    <xdr:col>14</xdr:col>
                    <xdr:colOff>266700</xdr:colOff>
                    <xdr:row>1</xdr:row>
                    <xdr:rowOff>142875</xdr:rowOff>
                  </from>
                  <to>
                    <xdr:col>17</xdr:col>
                    <xdr:colOff>733425</xdr:colOff>
                    <xdr:row>2</xdr:row>
                    <xdr:rowOff>180975</xdr:rowOff>
                  </to>
                </anchor>
              </controlPr>
            </control>
          </mc:Choice>
        </mc:AlternateContent>
        <mc:AlternateContent xmlns:mc="http://schemas.openxmlformats.org/markup-compatibility/2006">
          <mc:Choice Requires="x14">
            <control shapeId="47106" r:id="rId5" name="Drop Down 2">
              <controlPr defaultSize="0" autoLine="0" autoPict="0">
                <anchor moveWithCells="1">
                  <from>
                    <xdr:col>14</xdr:col>
                    <xdr:colOff>276225</xdr:colOff>
                    <xdr:row>2</xdr:row>
                    <xdr:rowOff>409575</xdr:rowOff>
                  </from>
                  <to>
                    <xdr:col>15</xdr:col>
                    <xdr:colOff>704850</xdr:colOff>
                    <xdr:row>2</xdr:row>
                    <xdr:rowOff>762000</xdr:rowOff>
                  </to>
                </anchor>
              </controlPr>
            </control>
          </mc:Choice>
        </mc:AlternateContent>
        <mc:AlternateContent xmlns:mc="http://schemas.openxmlformats.org/markup-compatibility/2006">
          <mc:Choice Requires="x14">
            <control shapeId="47107" r:id="rId6" name="Drop Down 3">
              <controlPr defaultSize="0" autoLine="0" autoPict="0">
                <anchor moveWithCells="1">
                  <from>
                    <xdr:col>16</xdr:col>
                    <xdr:colOff>419100</xdr:colOff>
                    <xdr:row>2</xdr:row>
                    <xdr:rowOff>438150</xdr:rowOff>
                  </from>
                  <to>
                    <xdr:col>17</xdr:col>
                    <xdr:colOff>723900</xdr:colOff>
                    <xdr:row>2</xdr:row>
                    <xdr:rowOff>790575</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5"/>
  <dimension ref="A2:W36"/>
  <sheetViews>
    <sheetView view="pageBreakPreview" zoomScaleNormal="100" zoomScaleSheetLayoutView="100" workbookViewId="0">
      <selection activeCell="A9" sqref="A9:A10"/>
    </sheetView>
  </sheetViews>
  <sheetFormatPr defaultRowHeight="15" x14ac:dyDescent="0.25"/>
  <cols>
    <col min="1" max="1" width="14.28515625" style="483" customWidth="1"/>
    <col min="2" max="2" width="0" style="483" hidden="1" customWidth="1"/>
    <col min="3" max="3" width="13.28515625" style="483" customWidth="1"/>
    <col min="4" max="4" width="11.140625" style="483" hidden="1" customWidth="1"/>
    <col min="5" max="13" width="9.140625" style="483"/>
    <col min="14" max="14" width="18.28515625" style="483" customWidth="1"/>
    <col min="15" max="17" width="9.140625" style="483"/>
    <col min="18" max="20" width="9.140625" style="483" hidden="1" customWidth="1"/>
    <col min="21" max="21" width="14.42578125" style="483" hidden="1" customWidth="1"/>
    <col min="22" max="22" width="52.140625" style="483" hidden="1" customWidth="1"/>
    <col min="23" max="16384" width="9.140625" style="483"/>
  </cols>
  <sheetData>
    <row r="2" spans="1:23" ht="26.25" x14ac:dyDescent="0.4">
      <c r="A2" s="75" t="s">
        <v>19</v>
      </c>
      <c r="B2" s="75"/>
      <c r="C2" s="75"/>
      <c r="D2" s="75"/>
      <c r="M2" s="1336" t="s">
        <v>21</v>
      </c>
      <c r="N2" s="1336"/>
      <c r="O2" s="1336"/>
      <c r="P2" s="1336"/>
      <c r="Q2" s="1336"/>
      <c r="V2" s="483">
        <v>1</v>
      </c>
    </row>
    <row r="3" spans="1:23" ht="26.25" x14ac:dyDescent="0.4">
      <c r="A3" s="75" t="s">
        <v>20</v>
      </c>
      <c r="B3" s="75"/>
      <c r="C3" s="75"/>
      <c r="D3" s="75"/>
      <c r="M3" s="1337" t="s">
        <v>40</v>
      </c>
      <c r="N3" s="1337"/>
      <c r="O3" s="1337"/>
      <c r="P3" s="1337"/>
      <c r="Q3" s="1337"/>
      <c r="V3" s="483">
        <v>5</v>
      </c>
    </row>
    <row r="4" spans="1:23" s="27" customFormat="1" ht="23.25" customHeight="1" x14ac:dyDescent="0.35">
      <c r="A4" s="542" t="str">
        <f>INDEX('Доставка по областям'!$A$2:$A$90,'ЛАЙТ Рязань'!Q5)</f>
        <v>Рязанская область</v>
      </c>
      <c r="J4" s="28"/>
      <c r="L4" s="29"/>
      <c r="M4" s="28"/>
      <c r="N4" s="57"/>
      <c r="P4" s="29"/>
      <c r="W4" s="83"/>
    </row>
    <row r="5" spans="1:23" s="2" customFormat="1" ht="18" x14ac:dyDescent="0.25">
      <c r="A5" s="1374">
        <f>'Лайт+АКУСТИК DDP'!A4</f>
        <v>0</v>
      </c>
      <c r="B5" s="1375"/>
      <c r="C5" s="1375"/>
      <c r="D5" s="1375"/>
      <c r="E5" s="1375"/>
      <c r="F5" s="1375"/>
      <c r="G5" s="1375"/>
      <c r="H5" s="1375"/>
      <c r="I5" s="1375"/>
      <c r="J5" s="1375"/>
      <c r="K5" s="1375"/>
      <c r="L5" s="1375"/>
      <c r="M5" s="1375"/>
      <c r="N5" s="1375"/>
      <c r="O5" s="1375"/>
      <c r="P5" s="1375"/>
      <c r="Q5" s="1375"/>
      <c r="R5" s="1375"/>
      <c r="S5" s="1375"/>
      <c r="T5" s="7"/>
      <c r="W5" s="82"/>
    </row>
    <row r="6" spans="1:23" s="2" customFormat="1" ht="18" x14ac:dyDescent="0.25">
      <c r="A6" s="537"/>
      <c r="B6" s="538"/>
      <c r="C6" s="538"/>
      <c r="D6" s="538"/>
      <c r="E6" s="538"/>
      <c r="F6" s="538"/>
      <c r="G6" s="538"/>
      <c r="H6" s="538"/>
      <c r="I6" s="538"/>
      <c r="J6" s="538"/>
      <c r="K6" s="538"/>
      <c r="L6" s="538"/>
      <c r="M6" s="539"/>
      <c r="N6" s="540"/>
      <c r="O6" s="538"/>
      <c r="P6" s="538"/>
      <c r="T6" s="7"/>
      <c r="W6" s="82"/>
    </row>
    <row r="7" spans="1:23" ht="15.75" thickBot="1" x14ac:dyDescent="0.3">
      <c r="A7" s="139" t="s">
        <v>53</v>
      </c>
      <c r="B7" s="139"/>
      <c r="C7" s="139"/>
      <c r="D7" s="139"/>
      <c r="E7" s="140"/>
      <c r="F7" s="140"/>
      <c r="G7" s="141"/>
      <c r="M7" s="1338" t="s">
        <v>37</v>
      </c>
      <c r="N7" s="1338"/>
      <c r="O7" s="1338"/>
      <c r="P7" s="1338"/>
      <c r="Q7" s="1338"/>
    </row>
    <row r="8" spans="1:23" ht="27" hidden="1" thickBot="1" x14ac:dyDescent="0.45">
      <c r="A8" s="6"/>
      <c r="B8" s="75"/>
      <c r="C8" s="75"/>
      <c r="D8" s="75"/>
      <c r="L8" s="538"/>
      <c r="M8" s="541">
        <f>INDEX('Доставка по областям'!$C$2:$D$90,'ЛАЙТ Рязань'!$Q$5,1)</f>
        <v>40</v>
      </c>
      <c r="N8" s="541">
        <f>INDEX('Доставка по областям'!$C$2:$D$90,'ЛАЙТ Рязань'!$Q$5,2)</f>
        <v>64</v>
      </c>
    </row>
    <row r="9" spans="1:23" ht="38.25" customHeight="1" x14ac:dyDescent="0.25">
      <c r="A9" s="1347" t="s">
        <v>58</v>
      </c>
      <c r="B9" s="1345" t="s">
        <v>59</v>
      </c>
      <c r="C9" s="1345" t="s">
        <v>133</v>
      </c>
      <c r="D9" s="1342" t="s">
        <v>81</v>
      </c>
      <c r="E9" s="1339" t="s">
        <v>60</v>
      </c>
      <c r="F9" s="1340"/>
      <c r="G9" s="1341"/>
      <c r="H9" s="1349" t="s">
        <v>61</v>
      </c>
      <c r="I9" s="1340"/>
      <c r="J9" s="1350"/>
      <c r="K9" s="1339" t="s">
        <v>62</v>
      </c>
      <c r="L9" s="1340"/>
      <c r="M9" s="1341"/>
      <c r="N9" s="466" t="s">
        <v>422</v>
      </c>
      <c r="U9" s="82" t="s">
        <v>413</v>
      </c>
      <c r="V9" s="2" t="s">
        <v>414</v>
      </c>
    </row>
    <row r="10" spans="1:23" ht="37.5" customHeight="1" thickBot="1" x14ac:dyDescent="0.3">
      <c r="A10" s="1348"/>
      <c r="B10" s="1346"/>
      <c r="C10" s="1346"/>
      <c r="D10" s="1343"/>
      <c r="E10" s="144" t="s">
        <v>63</v>
      </c>
      <c r="F10" s="145" t="s">
        <v>64</v>
      </c>
      <c r="G10" s="146" t="s">
        <v>65</v>
      </c>
      <c r="H10" s="147" t="s">
        <v>66</v>
      </c>
      <c r="I10" s="145" t="s">
        <v>67</v>
      </c>
      <c r="J10" s="148" t="s">
        <v>68</v>
      </c>
      <c r="K10" s="144" t="s">
        <v>69</v>
      </c>
      <c r="L10" s="145" t="s">
        <v>67</v>
      </c>
      <c r="M10" s="146" t="s">
        <v>68</v>
      </c>
      <c r="N10" s="149" t="s">
        <v>70</v>
      </c>
      <c r="V10" s="551" t="str">
        <f>INDEX('Доставка по областям'!J2:J20,VLOOKUP(A4,'Доставка по областям'!$A$2:$F$90,6,0))</f>
        <v>Рязанская</v>
      </c>
    </row>
    <row r="11" spans="1:23" ht="18" x14ac:dyDescent="0.25">
      <c r="A11" s="150" t="s">
        <v>71</v>
      </c>
      <c r="B11" s="151" t="s">
        <v>46</v>
      </c>
      <c r="C11" s="484" t="s">
        <v>235</v>
      </c>
      <c r="D11" s="151" t="s">
        <v>434</v>
      </c>
      <c r="E11" s="485">
        <v>1200</v>
      </c>
      <c r="F11" s="486">
        <v>600</v>
      </c>
      <c r="G11" s="487">
        <v>50</v>
      </c>
      <c r="H11" s="488">
        <v>192</v>
      </c>
      <c r="I11" s="486">
        <v>6.9119999999999999</v>
      </c>
      <c r="J11" s="489">
        <v>138.23999999999998</v>
      </c>
      <c r="K11" s="485">
        <v>11</v>
      </c>
      <c r="L11" s="486">
        <v>76.031999999999996</v>
      </c>
      <c r="M11" s="487">
        <v>1520.6399999999999</v>
      </c>
      <c r="N11" s="496">
        <f>'Плиты П'!N10*(1-U11-V11)+IFERROR(SEARCH("комп",ПлитыП_DDP!D11)/SEARCH("комп",ПлитыП_DDP!D11)*ПлитыП_DDP!$M$8,ПлитыП_DDP!$N$8)</f>
        <v>1123.6000000000001</v>
      </c>
      <c r="T11" s="483" t="s">
        <v>71</v>
      </c>
      <c r="U11" s="566">
        <f>IF($V$2=4,0,10%)</f>
        <v>0.1</v>
      </c>
      <c r="V11" s="566">
        <f>SUMIFS(РегСкидка!$C$3:$C$262,РегСкидка!$D$3:$D$262,"Рязань",РегСкидка!$B$3:$B$262,T11,РегСкидка!$E$3:$E$262,$V$10)/100</f>
        <v>0</v>
      </c>
    </row>
    <row r="12" spans="1:23" ht="18" x14ac:dyDescent="0.25">
      <c r="A12" s="152" t="s">
        <v>72</v>
      </c>
      <c r="B12" s="151" t="s">
        <v>46</v>
      </c>
      <c r="C12" s="642" t="s">
        <v>235</v>
      </c>
      <c r="D12" s="151" t="s">
        <v>434</v>
      </c>
      <c r="E12" s="491">
        <v>1200</v>
      </c>
      <c r="F12" s="492">
        <v>600</v>
      </c>
      <c r="G12" s="493">
        <v>50</v>
      </c>
      <c r="H12" s="637">
        <v>240</v>
      </c>
      <c r="I12" s="638">
        <v>8.64</v>
      </c>
      <c r="J12" s="639">
        <v>172.8</v>
      </c>
      <c r="K12" s="640">
        <v>11</v>
      </c>
      <c r="L12" s="638">
        <v>95.04</v>
      </c>
      <c r="M12" s="641">
        <v>1900.8</v>
      </c>
      <c r="N12" s="496">
        <f>'Плиты П'!N11*(1-U12-V12)+IFERROR(SEARCH("комп",ПлитыП_DDP!D12)/SEARCH("комп",ПлитыП_DDP!D12)*ПлитыП_DDP!$M$8,ПлитыП_DDP!$N$8)</f>
        <v>1123.6000000000001</v>
      </c>
      <c r="T12" s="483" t="s">
        <v>71</v>
      </c>
      <c r="U12" s="566">
        <f t="shared" ref="U12:U20" si="0">IF($V$2=4,0,10%)</f>
        <v>0.1</v>
      </c>
      <c r="V12" s="566">
        <f>SUMIFS(РегСкидка!$C$3:$C$262,РегСкидка!$D$3:$D$262,"Рязань",РегСкидка!$B$3:$B$262,T12,РегСкидка!$E$3:$E$262,$V$10)/100</f>
        <v>0</v>
      </c>
    </row>
    <row r="13" spans="1:23" ht="18" x14ac:dyDescent="0.25">
      <c r="A13" s="152" t="s">
        <v>72</v>
      </c>
      <c r="B13" s="151" t="s">
        <v>46</v>
      </c>
      <c r="C13" s="642" t="s">
        <v>235</v>
      </c>
      <c r="D13" s="151" t="s">
        <v>434</v>
      </c>
      <c r="E13" s="491">
        <v>1200</v>
      </c>
      <c r="F13" s="492">
        <v>600</v>
      </c>
      <c r="G13" s="493">
        <v>50</v>
      </c>
      <c r="H13" s="637">
        <v>224</v>
      </c>
      <c r="I13" s="638">
        <v>8.0640000000000001</v>
      </c>
      <c r="J13" s="639">
        <v>161.28</v>
      </c>
      <c r="K13" s="640">
        <v>11</v>
      </c>
      <c r="L13" s="638">
        <v>88.703999999999994</v>
      </c>
      <c r="M13" s="641">
        <v>1774.08</v>
      </c>
      <c r="N13" s="496">
        <f>'Плиты П'!N12*(1-U13-V13)+IFERROR(SEARCH("комп",ПлитыП_DDP!D13)/SEARCH("комп",ПлитыП_DDP!D13)*ПлитыП_DDP!$M$8,ПлитыП_DDP!$N$8)</f>
        <v>1123.6000000000001</v>
      </c>
      <c r="T13" s="483" t="s">
        <v>71</v>
      </c>
      <c r="U13" s="566">
        <f t="shared" si="0"/>
        <v>0.1</v>
      </c>
      <c r="V13" s="566">
        <f>SUMIFS(РегСкидка!$C$3:$C$262,РегСкидка!$D$3:$D$262,"Рязань",РегСкидка!$B$3:$B$262,T13,РегСкидка!$E$3:$E$262,$V$10)/100</f>
        <v>0</v>
      </c>
    </row>
    <row r="14" spans="1:23" ht="18" x14ac:dyDescent="0.25">
      <c r="A14" s="152" t="s">
        <v>72</v>
      </c>
      <c r="B14" s="151" t="s">
        <v>46</v>
      </c>
      <c r="C14" s="490" t="s">
        <v>236</v>
      </c>
      <c r="D14" s="151" t="s">
        <v>434</v>
      </c>
      <c r="E14" s="491">
        <v>1200</v>
      </c>
      <c r="F14" s="492">
        <v>600</v>
      </c>
      <c r="G14" s="493">
        <v>100</v>
      </c>
      <c r="H14" s="494">
        <v>96</v>
      </c>
      <c r="I14" s="492">
        <v>6.9119999999999999</v>
      </c>
      <c r="J14" s="495">
        <v>69.12</v>
      </c>
      <c r="K14" s="491">
        <v>11</v>
      </c>
      <c r="L14" s="492">
        <v>76.031999999999996</v>
      </c>
      <c r="M14" s="493">
        <v>760.32</v>
      </c>
      <c r="N14" s="496">
        <f>'Плиты П'!N13*(1-U14-V14)+IFERROR(SEARCH("комп",ПлитыП_DDP!D14)/SEARCH("комп",ПлитыП_DDP!D14)*ПлитыП_DDP!$M$8,ПлитыП_DDP!$N$8)</f>
        <v>1123.6000000000001</v>
      </c>
      <c r="T14" s="483" t="s">
        <v>71</v>
      </c>
      <c r="U14" s="566">
        <f t="shared" si="0"/>
        <v>0.1</v>
      </c>
      <c r="V14" s="566">
        <f>SUMIFS(РегСкидка!$C$3:$C$262,РегСкидка!$D$3:$D$262,"Рязань",РегСкидка!$B$3:$B$262,T14,РегСкидка!$E$3:$E$262,$V$10)/100</f>
        <v>0</v>
      </c>
    </row>
    <row r="15" spans="1:23" ht="18" x14ac:dyDescent="0.25">
      <c r="A15" s="152" t="s">
        <v>73</v>
      </c>
      <c r="B15" s="151" t="s">
        <v>46</v>
      </c>
      <c r="C15" s="490" t="s">
        <v>228</v>
      </c>
      <c r="D15" s="153"/>
      <c r="E15" s="491">
        <v>1200</v>
      </c>
      <c r="F15" s="492">
        <v>600</v>
      </c>
      <c r="G15" s="493">
        <v>50</v>
      </c>
      <c r="H15" s="494">
        <v>192</v>
      </c>
      <c r="I15" s="492">
        <v>6.9119999999999999</v>
      </c>
      <c r="J15" s="495">
        <v>138.23999999999998</v>
      </c>
      <c r="K15" s="491">
        <v>11</v>
      </c>
      <c r="L15" s="492">
        <v>76.031999999999996</v>
      </c>
      <c r="M15" s="493">
        <v>1520.6399999999999</v>
      </c>
      <c r="N15" s="504">
        <f>'Плиты П'!N14*(1-U15-V15)+IFERROR(SEARCH("комп",ПлитыП_DDP!D15)/SEARCH("комп",ПлитыП_DDP!D15)*ПлитыП_DDP!$M$8,ПлитыП_DDP!$N$8)</f>
        <v>2327.5</v>
      </c>
      <c r="T15" s="513" t="s">
        <v>383</v>
      </c>
      <c r="U15" s="566">
        <f t="shared" si="0"/>
        <v>0.1</v>
      </c>
      <c r="V15" s="566">
        <f>SUMIFS(РегСкидка!$C$3:$C$262,РегСкидка!$D$3:$D$262,"Рязань",РегСкидка!$B$3:$B$262,T15,РегСкидка!$E$3:$E$262,$V$10)/100</f>
        <v>0</v>
      </c>
    </row>
    <row r="16" spans="1:23" ht="18" x14ac:dyDescent="0.25">
      <c r="A16" s="152" t="s">
        <v>74</v>
      </c>
      <c r="B16" s="151" t="s">
        <v>46</v>
      </c>
      <c r="C16" s="490" t="s">
        <v>229</v>
      </c>
      <c r="D16" s="153"/>
      <c r="E16" s="491">
        <v>1200</v>
      </c>
      <c r="F16" s="492">
        <v>600</v>
      </c>
      <c r="G16" s="493">
        <v>100</v>
      </c>
      <c r="H16" s="494">
        <v>96</v>
      </c>
      <c r="I16" s="492">
        <v>6.9119999999999999</v>
      </c>
      <c r="J16" s="495">
        <v>69.12</v>
      </c>
      <c r="K16" s="491">
        <v>11</v>
      </c>
      <c r="L16" s="492">
        <v>76.031999999999996</v>
      </c>
      <c r="M16" s="493">
        <v>760.32</v>
      </c>
      <c r="N16" s="496">
        <f>'Плиты П'!N15*(1-U16-V16)+IFERROR(SEARCH("комп",ПлитыП_DDP!D16)/SEARCH("комп",ПлитыП_DDP!D16)*ПлитыП_DDP!$M$8,ПлитыП_DDP!$N$8)</f>
        <v>2327.5</v>
      </c>
      <c r="T16" s="513" t="s">
        <v>383</v>
      </c>
      <c r="U16" s="566">
        <f t="shared" si="0"/>
        <v>0.1</v>
      </c>
      <c r="V16" s="566">
        <f>SUMIFS(РегСкидка!$C$3:$C$262,РегСкидка!$D$3:$D$262,"Рязань",РегСкидка!$B$3:$B$262,T16,РегСкидка!$E$3:$E$262,$V$10)/100</f>
        <v>0</v>
      </c>
    </row>
    <row r="17" spans="1:23" ht="18" x14ac:dyDescent="0.25">
      <c r="A17" s="207" t="s">
        <v>85</v>
      </c>
      <c r="B17" s="151" t="s">
        <v>46</v>
      </c>
      <c r="C17" s="497" t="s">
        <v>226</v>
      </c>
      <c r="D17" s="208"/>
      <c r="E17" s="498">
        <v>1200</v>
      </c>
      <c r="F17" s="499">
        <v>600</v>
      </c>
      <c r="G17" s="500">
        <v>50</v>
      </c>
      <c r="H17" s="501">
        <v>180</v>
      </c>
      <c r="I17" s="619">
        <v>6.48</v>
      </c>
      <c r="J17" s="620">
        <v>129.6</v>
      </c>
      <c r="K17" s="498">
        <v>11</v>
      </c>
      <c r="L17" s="619">
        <v>71.28</v>
      </c>
      <c r="M17" s="500">
        <v>1425.6</v>
      </c>
      <c r="N17" s="496">
        <f>'Плиты П'!N16*(1-U17-V17)+IFERROR(SEARCH("комп",ПлитыП_DDP!D17)/SEARCH("комп",ПлитыП_DDP!D17)*ПлитыП_DDP!$M$8,ПлитыП_DDP!$N$8)</f>
        <v>3605.5</v>
      </c>
      <c r="T17" s="513" t="s">
        <v>384</v>
      </c>
      <c r="U17" s="566">
        <f t="shared" si="0"/>
        <v>0.1</v>
      </c>
      <c r="V17" s="566">
        <f>SUMIFS(РегСкидка!$C$3:$C$262,РегСкидка!$D$3:$D$262,"Рязань",РегСкидка!$B$3:$B$262,T17,РегСкидка!$E$3:$E$262,$V$10)/100</f>
        <v>0</v>
      </c>
    </row>
    <row r="18" spans="1:23" ht="18" x14ac:dyDescent="0.25">
      <c r="A18" s="207" t="s">
        <v>85</v>
      </c>
      <c r="B18" s="151" t="s">
        <v>46</v>
      </c>
      <c r="C18" s="497" t="s">
        <v>227</v>
      </c>
      <c r="D18" s="208"/>
      <c r="E18" s="498">
        <v>1200</v>
      </c>
      <c r="F18" s="499">
        <v>600</v>
      </c>
      <c r="G18" s="500">
        <v>100</v>
      </c>
      <c r="H18" s="501">
        <v>96</v>
      </c>
      <c r="I18" s="499">
        <v>6.9119999999999999</v>
      </c>
      <c r="J18" s="502">
        <v>69.11999999999999</v>
      </c>
      <c r="K18" s="498">
        <v>11</v>
      </c>
      <c r="L18" s="499">
        <v>76.031999999999996</v>
      </c>
      <c r="M18" s="500">
        <v>760.31999999999994</v>
      </c>
      <c r="N18" s="496">
        <f>'Плиты П'!N17*(1-U18-V18)+IFERROR(SEARCH("комп",ПлитыП_DDP!D18)/SEARCH("комп",ПлитыП_DDP!D18)*ПлитыП_DDP!$M$8,ПлитыП_DDP!$N$8)</f>
        <v>3605.5</v>
      </c>
      <c r="T18" s="513" t="s">
        <v>384</v>
      </c>
      <c r="U18" s="566">
        <f t="shared" si="0"/>
        <v>0.1</v>
      </c>
      <c r="V18" s="566">
        <f>SUMIFS(РегСкидка!$C$3:$C$262,РегСкидка!$D$3:$D$262,"Рязань",РегСкидка!$B$3:$B$262,T18,РегСкидка!$E$3:$E$262,$V$10)/100</f>
        <v>0</v>
      </c>
    </row>
    <row r="19" spans="1:23" ht="18" x14ac:dyDescent="0.25">
      <c r="A19" s="152" t="s">
        <v>75</v>
      </c>
      <c r="B19" s="151" t="s">
        <v>46</v>
      </c>
      <c r="C19" s="490" t="s">
        <v>445</v>
      </c>
      <c r="D19" s="153"/>
      <c r="E19" s="491">
        <v>1200</v>
      </c>
      <c r="F19" s="492">
        <v>600</v>
      </c>
      <c r="G19" s="493">
        <v>40</v>
      </c>
      <c r="H19" s="494">
        <v>220</v>
      </c>
      <c r="I19" s="492">
        <v>6.3360000000000003</v>
      </c>
      <c r="J19" s="495">
        <v>158.4</v>
      </c>
      <c r="K19" s="491">
        <v>11</v>
      </c>
      <c r="L19" s="492">
        <v>69.695999999999998</v>
      </c>
      <c r="M19" s="493">
        <v>1742.4</v>
      </c>
      <c r="N19" s="496">
        <f>'Плиты П'!N18*(1-U19-V19)+IFERROR(SEARCH("комп",ПлитыП_DDP!D19)/SEARCH("комп",ПлитыП_DDP!D19)*ПлитыП_DDP!$M$8,ПлитыП_DDP!$N$8)</f>
        <v>4253.5</v>
      </c>
      <c r="T19" s="513" t="s">
        <v>76</v>
      </c>
      <c r="U19" s="566">
        <f t="shared" si="0"/>
        <v>0.1</v>
      </c>
      <c r="V19" s="566">
        <f>SUMIFS(РегСкидка!$C$3:$C$262,РегСкидка!$D$3:$D$262,"Рязань",РегСкидка!$B$3:$B$262,T19,РегСкидка!$E$3:$E$262,$V$10)/100</f>
        <v>0</v>
      </c>
    </row>
    <row r="20" spans="1:23" ht="18.75" thickBot="1" x14ac:dyDescent="0.3">
      <c r="A20" s="154" t="s">
        <v>76</v>
      </c>
      <c r="B20" s="151" t="s">
        <v>46</v>
      </c>
      <c r="C20" s="505" t="s">
        <v>230</v>
      </c>
      <c r="D20" s="155"/>
      <c r="E20" s="506">
        <v>1200</v>
      </c>
      <c r="F20" s="507">
        <v>600</v>
      </c>
      <c r="G20" s="508">
        <v>50</v>
      </c>
      <c r="H20" s="509">
        <v>176</v>
      </c>
      <c r="I20" s="507">
        <v>6.3360000000000003</v>
      </c>
      <c r="J20" s="510">
        <v>126.72</v>
      </c>
      <c r="K20" s="506">
        <v>11</v>
      </c>
      <c r="L20" s="507">
        <v>69.695999999999998</v>
      </c>
      <c r="M20" s="508">
        <v>1393.92</v>
      </c>
      <c r="N20" s="496">
        <f>'Плиты П'!N19*(1-U20-V20)+IFERROR(SEARCH("комп",ПлитыП_DDP!D20)/SEARCH("комп",ПлитыП_DDP!D20)*ПлитыП_DDP!$M$8,ПлитыП_DDP!$N$8)</f>
        <v>4253.5</v>
      </c>
      <c r="T20" s="513" t="s">
        <v>76</v>
      </c>
      <c r="U20" s="566">
        <f t="shared" si="0"/>
        <v>0.1</v>
      </c>
      <c r="V20" s="566">
        <f>SUMIFS(РегСкидка!$C$3:$C$262,РегСкидка!$D$3:$D$262,"Рязань",РегСкидка!$B$3:$B$262,T20,РегСкидка!$E$3:$E$262,$V$10)/100</f>
        <v>0</v>
      </c>
    </row>
    <row r="21" spans="1:23" x14ac:dyDescent="0.25">
      <c r="A21" s="512"/>
      <c r="B21" s="512"/>
      <c r="C21" s="512"/>
      <c r="D21" s="512"/>
    </row>
    <row r="22" spans="1:23" x14ac:dyDescent="0.25">
      <c r="E22" s="513" t="s">
        <v>77</v>
      </c>
      <c r="F22" s="513"/>
      <c r="G22" s="513"/>
      <c r="H22" s="513"/>
      <c r="I22" s="513"/>
      <c r="J22" s="513"/>
      <c r="K22" s="513"/>
    </row>
    <row r="23" spans="1:23" x14ac:dyDescent="0.25">
      <c r="E23" s="141" t="s">
        <v>424</v>
      </c>
      <c r="F23" s="513"/>
    </row>
    <row r="24" spans="1:23" x14ac:dyDescent="0.25">
      <c r="E24" s="483" t="s">
        <v>439</v>
      </c>
    </row>
    <row r="25" spans="1:23" x14ac:dyDescent="0.25">
      <c r="E25" s="483" t="s">
        <v>79</v>
      </c>
    </row>
    <row r="26" spans="1:23" s="142" customFormat="1" ht="12.75" x14ac:dyDescent="0.2">
      <c r="A26" s="156"/>
      <c r="H26" s="157"/>
      <c r="J26" s="143"/>
      <c r="K26" s="157"/>
      <c r="L26" s="158"/>
    </row>
    <row r="27" spans="1:23" s="160" customFormat="1" ht="12.75" x14ac:dyDescent="0.2">
      <c r="A27" s="571"/>
      <c r="H27" s="161"/>
      <c r="J27" s="162"/>
      <c r="K27" s="161"/>
      <c r="L27" s="163"/>
    </row>
    <row r="28" spans="1:23" s="142" customFormat="1" ht="12.75" x14ac:dyDescent="0.2">
      <c r="A28" s="159"/>
      <c r="H28" s="157"/>
      <c r="J28" s="143"/>
      <c r="K28" s="157"/>
      <c r="L28" s="158"/>
    </row>
    <row r="29" spans="1:23" s="142" customFormat="1" ht="12.75" x14ac:dyDescent="0.2">
      <c r="A29" s="159"/>
      <c r="H29" s="157"/>
      <c r="J29" s="143"/>
      <c r="K29" s="157"/>
      <c r="L29" s="158"/>
    </row>
    <row r="30" spans="1:23" s="142" customFormat="1" ht="12.75" x14ac:dyDescent="0.2">
      <c r="A30" s="159"/>
      <c r="H30" s="157"/>
      <c r="J30" s="143"/>
      <c r="K30" s="157"/>
      <c r="L30" s="158"/>
      <c r="R30" s="164"/>
      <c r="S30" s="164"/>
    </row>
    <row r="31" spans="1:23" s="2" customFormat="1" ht="20.100000000000001" customHeight="1" x14ac:dyDescent="0.25">
      <c r="A31" s="232"/>
      <c r="B31" s="233"/>
      <c r="C31" s="233"/>
      <c r="D31" s="233"/>
      <c r="E31" s="233"/>
      <c r="F31" s="233"/>
      <c r="G31" s="234"/>
      <c r="H31" s="233"/>
      <c r="I31" s="235"/>
      <c r="J31" s="234"/>
      <c r="K31" s="236"/>
      <c r="L31" s="235"/>
      <c r="M31" s="234"/>
      <c r="N31" s="56"/>
      <c r="P31" s="5"/>
      <c r="W31" s="82"/>
    </row>
    <row r="32" spans="1:23" s="2" customFormat="1" ht="20.100000000000001" customHeight="1" x14ac:dyDescent="0.25">
      <c r="A32" s="232"/>
      <c r="B32" s="233"/>
      <c r="C32" s="233"/>
      <c r="D32" s="233"/>
      <c r="E32" s="233"/>
      <c r="F32" s="233"/>
      <c r="G32" s="234"/>
      <c r="H32" s="233"/>
      <c r="I32" s="235"/>
      <c r="J32" s="234"/>
      <c r="K32" s="236"/>
      <c r="L32" s="235"/>
      <c r="M32" s="234"/>
      <c r="N32" s="56"/>
      <c r="P32" s="5"/>
      <c r="W32" s="82"/>
    </row>
    <row r="33" spans="1:23" s="2" customFormat="1" ht="20.100000000000001" customHeight="1" x14ac:dyDescent="0.25">
      <c r="A33" s="232"/>
      <c r="B33" s="233"/>
      <c r="C33" s="233"/>
      <c r="D33" s="233"/>
      <c r="E33" s="233"/>
      <c r="F33" s="233"/>
      <c r="G33" s="234"/>
      <c r="H33" s="233"/>
      <c r="I33" s="235"/>
      <c r="J33" s="234"/>
      <c r="K33" s="236"/>
      <c r="L33" s="235"/>
      <c r="M33" s="234"/>
      <c r="N33" s="56"/>
      <c r="P33" s="5"/>
      <c r="W33" s="82"/>
    </row>
    <row r="34" spans="1:23" s="142" customFormat="1" x14ac:dyDescent="0.2">
      <c r="A34" s="232"/>
      <c r="B34" s="233"/>
      <c r="C34" s="233"/>
      <c r="D34" s="233"/>
      <c r="E34" s="233"/>
      <c r="F34" s="233"/>
      <c r="G34" s="233"/>
      <c r="H34" s="234"/>
      <c r="I34" s="233"/>
      <c r="J34" s="235"/>
      <c r="K34" s="234"/>
      <c r="L34" s="236"/>
      <c r="M34" s="233"/>
      <c r="N34" s="143"/>
    </row>
    <row r="35" spans="1:23" s="142" customFormat="1" ht="12.75" x14ac:dyDescent="0.2">
      <c r="A35" s="31"/>
      <c r="H35" s="157"/>
      <c r="J35" s="143"/>
      <c r="K35" s="157"/>
      <c r="L35" s="158"/>
      <c r="N35" s="143"/>
    </row>
    <row r="36" spans="1:23" s="142" customFormat="1" ht="12.75" x14ac:dyDescent="0.2">
      <c r="A36" s="31"/>
      <c r="H36" s="157"/>
      <c r="J36" s="143"/>
      <c r="K36" s="157"/>
      <c r="L36" s="158"/>
      <c r="N36" s="143"/>
    </row>
  </sheetData>
  <mergeCells count="11">
    <mergeCell ref="K9:M9"/>
    <mergeCell ref="A9:A10"/>
    <mergeCell ref="B9:B10"/>
    <mergeCell ref="C9:C10"/>
    <mergeCell ref="M2:Q2"/>
    <mergeCell ref="M3:Q3"/>
    <mergeCell ref="M7:Q7"/>
    <mergeCell ref="A5:S5"/>
    <mergeCell ref="D9:D10"/>
    <mergeCell ref="E9:G9"/>
    <mergeCell ref="H9:J9"/>
  </mergeCells>
  <phoneticPr fontId="65" type="noConversion"/>
  <hyperlinks>
    <hyperlink ref="M7" r:id="rId1"/>
  </hyperlinks>
  <pageMargins left="0.7" right="0.7" top="0.75" bottom="0.75" header="0.3" footer="0.3"/>
  <pageSetup paperSize="9" scale="51"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44033" r:id="rId5" name="Drop Down 1">
              <controlPr defaultSize="0" autoLine="0" autoPict="0">
                <anchor moveWithCells="1">
                  <from>
                    <xdr:col>10</xdr:col>
                    <xdr:colOff>38100</xdr:colOff>
                    <xdr:row>3</xdr:row>
                    <xdr:rowOff>28575</xdr:rowOff>
                  </from>
                  <to>
                    <xdr:col>13</xdr:col>
                    <xdr:colOff>1190625</xdr:colOff>
                    <xdr:row>4</xdr:row>
                    <xdr:rowOff>104775</xdr:rowOff>
                  </to>
                </anchor>
              </controlPr>
            </control>
          </mc:Choice>
        </mc:AlternateContent>
        <mc:AlternateContent xmlns:mc="http://schemas.openxmlformats.org/markup-compatibility/2006">
          <mc:Choice Requires="x14">
            <control shapeId="44036" r:id="rId6" name="Drop Down 4">
              <controlPr defaultSize="0" autoLine="0" autoPict="0">
                <anchor moveWithCells="1">
                  <from>
                    <xdr:col>10</xdr:col>
                    <xdr:colOff>47625</xdr:colOff>
                    <xdr:row>4</xdr:row>
                    <xdr:rowOff>190500</xdr:rowOff>
                  </from>
                  <to>
                    <xdr:col>12</xdr:col>
                    <xdr:colOff>28575</xdr:colOff>
                    <xdr:row>6</xdr:row>
                    <xdr:rowOff>76200</xdr:rowOff>
                  </to>
                </anchor>
              </controlPr>
            </control>
          </mc:Choice>
        </mc:AlternateContent>
        <mc:AlternateContent xmlns:mc="http://schemas.openxmlformats.org/markup-compatibility/2006">
          <mc:Choice Requires="x14">
            <control shapeId="44037" r:id="rId7" name="Drop Down 5">
              <controlPr defaultSize="0" autoLine="0" autoPict="0">
                <anchor moveWithCells="1">
                  <from>
                    <xdr:col>12</xdr:col>
                    <xdr:colOff>228600</xdr:colOff>
                    <xdr:row>4</xdr:row>
                    <xdr:rowOff>190500</xdr:rowOff>
                  </from>
                  <to>
                    <xdr:col>13</xdr:col>
                    <xdr:colOff>819150</xdr:colOff>
                    <xdr:row>6</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tabColor rgb="FFFF0000"/>
  </sheetPr>
  <dimension ref="A1:Z89"/>
  <sheetViews>
    <sheetView showGridLines="0" view="pageBreakPreview" zoomScale="75" zoomScaleNormal="100" zoomScaleSheetLayoutView="75" workbookViewId="0">
      <pane xSplit="1" ySplit="7" topLeftCell="L8" activePane="bottomRight" state="frozen"/>
      <selection pane="topRight"/>
      <selection pane="bottomLeft"/>
      <selection pane="bottomRight" activeCell="W1" sqref="W1:Y1048576"/>
    </sheetView>
  </sheetViews>
  <sheetFormatPr defaultColWidth="11.42578125" defaultRowHeight="18" x14ac:dyDescent="0.25"/>
  <cols>
    <col min="1" max="1" width="38.7109375" style="3" customWidth="1"/>
    <col min="2" max="2" width="9.7109375" style="2" customWidth="1"/>
    <col min="3" max="3" width="8.42578125" style="2" customWidth="1"/>
    <col min="4" max="4" width="9.7109375" style="2" customWidth="1"/>
    <col min="5" max="5" width="16.7109375" style="2" customWidth="1"/>
    <col min="6" max="6" width="6.140625" style="2" customWidth="1"/>
    <col min="7" max="8" width="10.85546875" style="2" customWidth="1"/>
    <col min="9" max="9" width="13.28515625" style="2" customWidth="1"/>
    <col min="10" max="10" width="11.5703125" style="4" customWidth="1"/>
    <col min="11" max="11" width="11.5703125" style="2" customWidth="1"/>
    <col min="12" max="12" width="15" style="5" customWidth="1"/>
    <col min="13" max="13" width="11.85546875" style="4" customWidth="1"/>
    <col min="14" max="14" width="14.85546875" style="56" customWidth="1"/>
    <col min="15" max="15" width="15.140625" style="2" customWidth="1"/>
    <col min="16" max="16" width="12.5703125" style="5" hidden="1" customWidth="1"/>
    <col min="17" max="17" width="15.140625" style="2" customWidth="1"/>
    <col min="18" max="18" width="11.7109375" style="2" customWidth="1"/>
    <col min="19" max="19" width="13.42578125" style="2" customWidth="1"/>
    <col min="20" max="20" width="29.7109375" style="745" customWidth="1"/>
    <col min="21" max="21" width="11.42578125" style="953" customWidth="1"/>
    <col min="22" max="22" width="16.7109375" style="745" customWidth="1"/>
    <col min="23" max="23" width="13" style="2" customWidth="1"/>
    <col min="24" max="24" width="11.42578125" style="2"/>
    <col min="25" max="25" width="12.7109375" style="2" customWidth="1"/>
    <col min="26" max="26" width="10.5703125" style="82" customWidth="1"/>
    <col min="27" max="16384" width="11.42578125" style="2"/>
  </cols>
  <sheetData>
    <row r="1" spans="1:26" ht="26.25" x14ac:dyDescent="0.4">
      <c r="A1" s="75" t="s">
        <v>19</v>
      </c>
      <c r="V1" s="953" t="s">
        <v>413</v>
      </c>
    </row>
    <row r="2" spans="1:26" s="27" customFormat="1" ht="26.25" x14ac:dyDescent="0.4">
      <c r="A2" s="75" t="s">
        <v>20</v>
      </c>
      <c r="J2" s="28"/>
      <c r="L2" s="29"/>
      <c r="M2" s="28"/>
      <c r="N2" s="57"/>
      <c r="P2" s="29"/>
      <c r="T2" s="1014"/>
      <c r="U2" s="1014" t="s">
        <v>415</v>
      </c>
      <c r="V2" s="1093">
        <v>4</v>
      </c>
      <c r="Z2" s="83"/>
    </row>
    <row r="3" spans="1:26" s="27" customFormat="1" ht="60" customHeight="1" x14ac:dyDescent="0.35">
      <c r="A3" s="2" t="s">
        <v>53</v>
      </c>
      <c r="J3" s="28"/>
      <c r="L3" s="29"/>
      <c r="M3" s="28"/>
      <c r="N3" s="57"/>
      <c r="P3" s="29"/>
      <c r="T3" s="1014"/>
      <c r="U3" s="1014" t="s">
        <v>416</v>
      </c>
      <c r="V3" s="1094">
        <v>4</v>
      </c>
      <c r="Z3" s="83"/>
    </row>
    <row r="4" spans="1:26" x14ac:dyDescent="0.25">
      <c r="A4" s="1248" t="s">
        <v>436</v>
      </c>
      <c r="B4" s="1249"/>
      <c r="C4" s="1249"/>
      <c r="D4" s="1249"/>
      <c r="E4" s="1249"/>
      <c r="F4" s="1249"/>
      <c r="G4" s="1249"/>
      <c r="H4" s="1249"/>
      <c r="I4" s="1249"/>
      <c r="J4" s="1249"/>
      <c r="K4" s="1249"/>
      <c r="L4" s="1249"/>
      <c r="M4" s="1249"/>
      <c r="N4" s="1249"/>
      <c r="O4" s="1249"/>
      <c r="P4" s="1249"/>
      <c r="Q4" s="1249"/>
      <c r="R4" s="1249"/>
      <c r="S4" s="1249"/>
      <c r="T4" s="1095"/>
      <c r="U4" s="1096"/>
      <c r="W4" s="7"/>
    </row>
    <row r="5" spans="1:26" ht="18.75" thickBot="1" x14ac:dyDescent="0.3">
      <c r="A5" s="6"/>
      <c r="B5" s="7"/>
      <c r="C5" s="7"/>
      <c r="D5" s="7"/>
      <c r="E5" s="7"/>
      <c r="F5" s="7"/>
      <c r="G5" s="7"/>
      <c r="H5" s="7"/>
      <c r="I5" s="7"/>
      <c r="J5" s="7"/>
      <c r="K5" s="7"/>
      <c r="L5" s="7"/>
      <c r="M5" s="67"/>
      <c r="N5" s="58"/>
      <c r="O5" s="993">
        <f>INDEX('Доставка по областям'!$C$2:$E$90,'ЛАЙТ Рязань'!$Q$5,3)</f>
        <v>61</v>
      </c>
      <c r="P5" s="992"/>
      <c r="Q5" s="992">
        <v>67</v>
      </c>
      <c r="R5" s="993">
        <f>INDEX('Доставка по областям'!$C$2:$D$90,'ЛАЙТ Рязань'!$Q$5,1)</f>
        <v>40</v>
      </c>
      <c r="S5" s="993">
        <f>INDEX('Доставка по областям'!$C$2:$D$90,'ЛАЙТ Рязань'!$Q$5,2)</f>
        <v>64</v>
      </c>
      <c r="T5" s="1097"/>
      <c r="U5" s="1098" t="s">
        <v>412</v>
      </c>
      <c r="V5" s="1099">
        <f>IF($V$2&lt;4,INDEX('Доставка по областям'!$J$54:$J$57,V2)+INDEX('Доставка по областям'!$J$58:$J$61,$V$3),0)</f>
        <v>0</v>
      </c>
      <c r="W5" s="7"/>
    </row>
    <row r="6" spans="1:26" ht="72.75" customHeight="1" thickBot="1" x14ac:dyDescent="0.3">
      <c r="A6" s="1250" t="s">
        <v>0</v>
      </c>
      <c r="B6" s="1252" t="s">
        <v>1</v>
      </c>
      <c r="C6" s="1254" t="s">
        <v>2</v>
      </c>
      <c r="D6" s="1256" t="s">
        <v>3</v>
      </c>
      <c r="E6" s="1258" t="s">
        <v>88</v>
      </c>
      <c r="F6" s="1260" t="s">
        <v>36</v>
      </c>
      <c r="G6" s="1260" t="s">
        <v>57</v>
      </c>
      <c r="H6" s="114"/>
      <c r="I6" s="1260" t="s">
        <v>56</v>
      </c>
      <c r="J6" s="1264" t="s">
        <v>49</v>
      </c>
      <c r="K6" s="1265"/>
      <c r="L6" s="1266"/>
      <c r="M6" s="1267" t="s">
        <v>48</v>
      </c>
      <c r="N6" s="1268"/>
      <c r="O6" s="1269" t="s">
        <v>44</v>
      </c>
      <c r="P6" s="1270"/>
      <c r="Q6" s="1264" t="s">
        <v>340</v>
      </c>
      <c r="R6" s="1265"/>
      <c r="S6" s="1266"/>
      <c r="V6" s="745" t="s">
        <v>414</v>
      </c>
    </row>
    <row r="7" spans="1:26" ht="49.5" customHeight="1" thickBot="1" x14ac:dyDescent="0.3">
      <c r="A7" s="1251"/>
      <c r="B7" s="1253"/>
      <c r="C7" s="1255"/>
      <c r="D7" s="1257"/>
      <c r="E7" s="1259"/>
      <c r="F7" s="1261"/>
      <c r="G7" s="1262"/>
      <c r="H7" s="463"/>
      <c r="I7" s="1263"/>
      <c r="J7" s="43" t="s">
        <v>5</v>
      </c>
      <c r="K7" s="54" t="s">
        <v>17</v>
      </c>
      <c r="L7" s="64" t="s">
        <v>18</v>
      </c>
      <c r="M7" s="461" t="s">
        <v>47</v>
      </c>
      <c r="N7" s="462" t="s">
        <v>18</v>
      </c>
      <c r="O7" s="449" t="s">
        <v>43</v>
      </c>
      <c r="P7" s="447" t="s">
        <v>42</v>
      </c>
      <c r="Q7" s="468" t="s">
        <v>6</v>
      </c>
      <c r="R7" s="469" t="s">
        <v>18</v>
      </c>
      <c r="S7" s="470" t="s">
        <v>22</v>
      </c>
      <c r="T7" s="1100" t="str">
        <f>INDEX('Доставка по областям'!$G$2:$G$90,'ЛАЙТ Рязань'!$Q$5)</f>
        <v>Завод 'ТЕХНО' г.Рязань</v>
      </c>
      <c r="V7" s="1101" t="str">
        <f>INDEX('Доставка по областям'!$J$2:$J$53,VLOOKUP('Лайт+АКУСТИК DDP'!A3,'Доставка по областям'!$A$2:$F$89,6,0))</f>
        <v>Рязанская</v>
      </c>
      <c r="W7" s="3"/>
      <c r="X7" s="3"/>
      <c r="Y7" s="3"/>
    </row>
    <row r="8" spans="1:26" ht="22.5" customHeight="1" thickBot="1" x14ac:dyDescent="0.3">
      <c r="A8" s="35" t="s">
        <v>41</v>
      </c>
      <c r="B8" s="252">
        <v>1200</v>
      </c>
      <c r="C8" s="250">
        <v>600</v>
      </c>
      <c r="D8" s="251">
        <v>50</v>
      </c>
      <c r="E8" s="254" t="s">
        <v>233</v>
      </c>
      <c r="F8" s="238" t="s">
        <v>239</v>
      </c>
      <c r="G8" s="1176" t="str">
        <f>IFERROR(H8*'Лайт+АКУСТИК DDP'!O8," ")</f>
        <v xml:space="preserve"> </v>
      </c>
      <c r="H8" s="115" t="s">
        <v>528</v>
      </c>
      <c r="I8" s="259" t="s">
        <v>82</v>
      </c>
      <c r="J8" s="131">
        <v>12</v>
      </c>
      <c r="K8" s="168">
        <v>8.64</v>
      </c>
      <c r="L8" s="132">
        <v>0.432</v>
      </c>
      <c r="M8" s="133">
        <v>20</v>
      </c>
      <c r="N8" s="172">
        <v>8.64</v>
      </c>
      <c r="O8" s="220">
        <v>95.04</v>
      </c>
      <c r="P8" s="443">
        <v>103.68</v>
      </c>
      <c r="Q8" s="88">
        <f>L8*R8</f>
        <v>680.4</v>
      </c>
      <c r="R8" s="99">
        <v>1575</v>
      </c>
      <c r="S8" s="101">
        <f>R8*D8/1000</f>
        <v>78.75</v>
      </c>
      <c r="T8" s="745" t="s">
        <v>425</v>
      </c>
      <c r="V8" s="1102">
        <f>IF($V$2&lt;4,SUMIFS(РегСкидка!$C$3:$C$619,РегСкидка!$D$3:$D$619,INDEX('Доставка по областям'!$G$2:$G$90,'ЛАЙТ Рязань'!$Q$5),РегСкидка!$B$3:$B$619,T8,РегСкидка!$E$3:$E$619,$V$7)/100*IF(OR($V$3=1,$V$3=2,$V$3=3,$V$3=4),1,0),0)</f>
        <v>0</v>
      </c>
      <c r="W8" s="1226"/>
      <c r="X8" s="4"/>
      <c r="Y8" s="1234"/>
    </row>
    <row r="9" spans="1:26" ht="22.5" customHeight="1" thickBot="1" x14ac:dyDescent="0.3">
      <c r="A9" s="76"/>
      <c r="B9" s="249">
        <v>1200</v>
      </c>
      <c r="C9" s="250">
        <v>600</v>
      </c>
      <c r="D9" s="251">
        <v>50</v>
      </c>
      <c r="E9" s="599" t="s">
        <v>234</v>
      </c>
      <c r="F9" s="238" t="s">
        <v>238</v>
      </c>
      <c r="G9" s="1176" t="str">
        <f>IFERROR(H9*'Лайт+АКУСТИК DDP'!O9," ")</f>
        <v xml:space="preserve"> </v>
      </c>
      <c r="H9" s="124" t="s">
        <v>528</v>
      </c>
      <c r="I9" s="124" t="s">
        <v>83</v>
      </c>
      <c r="J9" s="125">
        <v>12</v>
      </c>
      <c r="K9" s="166">
        <v>6.9119999999999999</v>
      </c>
      <c r="L9" s="126">
        <v>0.432</v>
      </c>
      <c r="M9" s="133">
        <v>16</v>
      </c>
      <c r="N9" s="172">
        <v>6.9119999999999999</v>
      </c>
      <c r="O9" s="220">
        <v>76.031999999999996</v>
      </c>
      <c r="P9" s="126"/>
      <c r="Q9" s="88">
        <f t="shared" ref="Q9:Q15" si="0">L9*R9</f>
        <v>599.61599999999999</v>
      </c>
      <c r="R9" s="655">
        <v>1388</v>
      </c>
      <c r="S9" s="101">
        <f t="shared" ref="S9:S15" si="1">R9*D9/1000</f>
        <v>69.400000000000006</v>
      </c>
      <c r="T9" s="745" t="s">
        <v>425</v>
      </c>
      <c r="V9" s="953">
        <f>IF($V$2&lt;4,SUMIFS(РегСкидка!$C$3:$C$619,РегСкидка!$D$3:$D$619,INDEX('Доставка по областям'!$G$2:$G$90,'ЛАЙТ Рязань'!$Q$5),РегСкидка!$B$3:$B$619,T9,РегСкидка!$E$3:$E$619,$V$7)/100*IF(OR($V$3=1,$V$3=2,$V$3=3,$V$3=4),1,0),0)</f>
        <v>0</v>
      </c>
      <c r="W9" s="1226"/>
      <c r="X9" s="4"/>
      <c r="Y9" s="1234"/>
    </row>
    <row r="10" spans="1:26" ht="22.5" customHeight="1" thickBot="1" x14ac:dyDescent="0.3">
      <c r="A10" s="76"/>
      <c r="B10" s="249">
        <v>1200</v>
      </c>
      <c r="C10" s="250">
        <v>600</v>
      </c>
      <c r="D10" s="251">
        <v>50</v>
      </c>
      <c r="E10" s="599" t="s">
        <v>442</v>
      </c>
      <c r="F10" s="238" t="s">
        <v>238</v>
      </c>
      <c r="G10" s="1176" t="str">
        <f>IFERROR(H10*'Лайт+АКУСТИК DDP'!O10," ")</f>
        <v xml:space="preserve"> </v>
      </c>
      <c r="H10" s="124" t="s">
        <v>528</v>
      </c>
      <c r="I10" s="124" t="s">
        <v>83</v>
      </c>
      <c r="J10" s="125">
        <v>8</v>
      </c>
      <c r="K10" s="166">
        <v>5.76</v>
      </c>
      <c r="L10" s="126">
        <v>0.28799999999999998</v>
      </c>
      <c r="M10" s="133">
        <v>24</v>
      </c>
      <c r="N10" s="172">
        <v>6.9119999999999999</v>
      </c>
      <c r="O10" s="231">
        <v>76.031999999999996</v>
      </c>
      <c r="P10" s="126"/>
      <c r="Q10" s="88">
        <f>L10*R10</f>
        <v>399.74399999999997</v>
      </c>
      <c r="R10" s="655">
        <v>1388</v>
      </c>
      <c r="S10" s="101">
        <f>R10*D10/1000</f>
        <v>69.400000000000006</v>
      </c>
      <c r="T10" s="745" t="s">
        <v>425</v>
      </c>
      <c r="V10" s="953">
        <f>IF($V$2&lt;4,SUMIFS(РегСкидка!$C$3:$C$619,РегСкидка!$D$3:$D$619,INDEX('Доставка по областям'!$G$2:$G$90,'ЛАЙТ Рязань'!$Q$5),РегСкидка!$B$3:$B$619,T10,РегСкидка!$E$3:$E$619,$V$7)/100*IF(OR($V$3=1,$V$3=2,$V$3=3,$V$3=4),1,0),0)</f>
        <v>0</v>
      </c>
      <c r="W10" s="1226"/>
      <c r="X10" s="4"/>
      <c r="Y10" s="1234"/>
    </row>
    <row r="11" spans="1:26" ht="22.5" customHeight="1" thickBot="1" x14ac:dyDescent="0.3">
      <c r="A11" s="76"/>
      <c r="B11" s="249">
        <v>1200</v>
      </c>
      <c r="C11" s="250">
        <v>600</v>
      </c>
      <c r="D11" s="251">
        <v>50</v>
      </c>
      <c r="E11" s="666" t="s">
        <v>462</v>
      </c>
      <c r="F11" s="238" t="s">
        <v>238</v>
      </c>
      <c r="G11" s="1176" t="str">
        <f>IFERROR(H11*'Лайт+АКУСТИК DDP'!O11," ")</f>
        <v xml:space="preserve"> </v>
      </c>
      <c r="H11" s="124" t="s">
        <v>528</v>
      </c>
      <c r="I11" s="124" t="s">
        <v>463</v>
      </c>
      <c r="J11" s="125">
        <v>12</v>
      </c>
      <c r="K11" s="166">
        <f>B11*C11*J11/1000000</f>
        <v>8.64</v>
      </c>
      <c r="L11" s="126">
        <f>B11*C11*D11*J11/1000000000</f>
        <v>0.432</v>
      </c>
      <c r="M11" s="133">
        <v>24</v>
      </c>
      <c r="N11" s="172">
        <f>L11*M11</f>
        <v>10.368</v>
      </c>
      <c r="O11" s="231">
        <f>N11*11</f>
        <v>114.048</v>
      </c>
      <c r="P11" s="126"/>
      <c r="Q11" s="88">
        <f>L11*R11</f>
        <v>614.30399999999997</v>
      </c>
      <c r="R11" s="665">
        <v>1422</v>
      </c>
      <c r="S11" s="101">
        <f>R11*D11/1000</f>
        <v>71.099999999999994</v>
      </c>
      <c r="T11" s="745" t="s">
        <v>425</v>
      </c>
      <c r="V11" s="953">
        <f>IF($V$2&lt;4,SUMIFS(РегСкидка!$C$3:$C$619,РегСкидка!$D$3:$D$619,INDEX('Доставка по областям'!$G$2:$G$90,'ЛАЙТ Рязань'!$Q$5),РегСкидка!$B$3:$B$619,T11,РегСкидка!$E$3:$E$619,$V$7)/100*IF(OR($V$3=1,$V$3=2,$V$3=3,$V$3=4),1,0),0)</f>
        <v>0</v>
      </c>
      <c r="W11" s="1226"/>
      <c r="X11" s="4"/>
      <c r="Y11" s="1234"/>
    </row>
    <row r="12" spans="1:26" ht="22.5" customHeight="1" thickBot="1" x14ac:dyDescent="0.3">
      <c r="A12" s="877"/>
      <c r="B12" s="203">
        <v>1200</v>
      </c>
      <c r="C12" s="204">
        <v>600</v>
      </c>
      <c r="D12" s="209">
        <v>50</v>
      </c>
      <c r="E12" s="254" t="s">
        <v>609</v>
      </c>
      <c r="F12" s="238" t="s">
        <v>239</v>
      </c>
      <c r="G12" s="1176" t="str">
        <f>IFERROR(H12*'Лайт+АКУСТИК DDP'!O12," ")</f>
        <v xml:space="preserve"> </v>
      </c>
      <c r="H12" s="124" t="s">
        <v>528</v>
      </c>
      <c r="I12" s="170">
        <v>1036.8000000000002</v>
      </c>
      <c r="J12" s="125">
        <v>8</v>
      </c>
      <c r="K12" s="166">
        <v>0.432</v>
      </c>
      <c r="L12" s="126">
        <v>0.216</v>
      </c>
      <c r="M12" s="127">
        <v>32</v>
      </c>
      <c r="N12" s="173">
        <v>6.9119999999999999</v>
      </c>
      <c r="O12" s="231">
        <v>76.031999999999996</v>
      </c>
      <c r="P12" s="126"/>
      <c r="Q12" s="88" t="e">
        <f t="shared" ref="Q12" si="2">L12*R12</f>
        <v>#VALUE!</v>
      </c>
      <c r="R12" s="655" t="s">
        <v>528</v>
      </c>
      <c r="S12" s="101" t="e">
        <f t="shared" ref="S12" si="3">R12*D12/1000</f>
        <v>#VALUE!</v>
      </c>
      <c r="T12" s="745" t="s">
        <v>425</v>
      </c>
      <c r="V12" s="953">
        <f>IF($V$2&lt;4,SUMIFS(РегСкидка!$C$3:$C$619,РегСкидка!$D$3:$D$619,INDEX('Доставка по областям'!$G$2:$G$90,'ЛАЙТ Рязань'!$Q$5),РегСкидка!$B$3:$B$619,T12,РегСкидка!$E$3:$E$619,$V$7)/100*IF(OR($V$3=1,$V$3=2,$V$3=3,$V$3=4),1,0),0)</f>
        <v>0</v>
      </c>
      <c r="W12" s="1226"/>
      <c r="X12" s="4"/>
      <c r="Y12" s="1234"/>
    </row>
    <row r="13" spans="1:26" ht="22.5" customHeight="1" thickBot="1" x14ac:dyDescent="0.3">
      <c r="A13" s="1246" t="s">
        <v>31</v>
      </c>
      <c r="B13" s="203">
        <v>1200</v>
      </c>
      <c r="C13" s="204">
        <v>600</v>
      </c>
      <c r="D13" s="209">
        <v>75</v>
      </c>
      <c r="E13" s="254" t="s">
        <v>242</v>
      </c>
      <c r="F13" s="238" t="s">
        <v>46</v>
      </c>
      <c r="G13" s="1176">
        <f>IFERROR(H13*'Лайт+АКУСТИК DDP'!O13," ")</f>
        <v>290.30399999999997</v>
      </c>
      <c r="H13" s="124">
        <f>ROUNDUP(10000/35/'Лайт+АКУСТИК DDP'!O13,0)</f>
        <v>42</v>
      </c>
      <c r="I13" s="170">
        <v>1036.8000000000002</v>
      </c>
      <c r="J13" s="125">
        <v>8</v>
      </c>
      <c r="K13" s="166">
        <v>5.7600000000000007</v>
      </c>
      <c r="L13" s="126">
        <v>0.432</v>
      </c>
      <c r="M13" s="127">
        <v>16</v>
      </c>
      <c r="N13" s="173">
        <v>6.9119999999999999</v>
      </c>
      <c r="O13" s="231">
        <v>76.031999999999996</v>
      </c>
      <c r="P13" s="126"/>
      <c r="Q13" s="88">
        <f t="shared" si="0"/>
        <v>599.61599999999999</v>
      </c>
      <c r="R13" s="655">
        <v>1388</v>
      </c>
      <c r="S13" s="101">
        <f t="shared" si="1"/>
        <v>104.1</v>
      </c>
      <c r="T13" s="745" t="s">
        <v>425</v>
      </c>
      <c r="V13" s="953">
        <f>IF($V$2&lt;4,SUMIFS(РегСкидка!$C$3:$C$619,РегСкидка!$D$3:$D$619,INDEX('Доставка по областям'!$G$2:$G$90,'ЛАЙТ Рязань'!$Q$5),РегСкидка!$B$3:$B$619,T13,РегСкидка!$E$3:$E$619,$V$7)/100*IF(OR($V$3=1,$V$3=2,$V$3=3,$V$3=4),1,0),0)</f>
        <v>0</v>
      </c>
      <c r="W13" s="1226"/>
      <c r="X13" s="4"/>
      <c r="Y13" s="1234"/>
    </row>
    <row r="14" spans="1:26" ht="19.5" customHeight="1" thickBot="1" x14ac:dyDescent="0.3">
      <c r="A14" s="1246"/>
      <c r="B14" s="203">
        <v>1200</v>
      </c>
      <c r="C14" s="204">
        <v>600</v>
      </c>
      <c r="D14" s="209">
        <v>100</v>
      </c>
      <c r="E14" s="254" t="s">
        <v>232</v>
      </c>
      <c r="F14" s="238" t="s">
        <v>238</v>
      </c>
      <c r="G14" s="1176" t="str">
        <f>IFERROR(H14*'Лайт+АКУСТИК DDP'!O14," ")</f>
        <v xml:space="preserve"> </v>
      </c>
      <c r="H14" s="124" t="s">
        <v>528</v>
      </c>
      <c r="I14" s="170" t="s">
        <v>86</v>
      </c>
      <c r="J14" s="125">
        <v>6</v>
      </c>
      <c r="K14" s="166">
        <v>4.32</v>
      </c>
      <c r="L14" s="126">
        <v>0.432</v>
      </c>
      <c r="M14" s="127">
        <v>16</v>
      </c>
      <c r="N14" s="173">
        <v>6.9119999999999999</v>
      </c>
      <c r="O14" s="231">
        <v>76.031999999999996</v>
      </c>
      <c r="P14" s="126"/>
      <c r="Q14" s="88">
        <f t="shared" si="0"/>
        <v>599.61599999999999</v>
      </c>
      <c r="R14" s="655">
        <v>1388</v>
      </c>
      <c r="S14" s="101">
        <f t="shared" si="1"/>
        <v>138.80000000000001</v>
      </c>
      <c r="T14" s="745" t="s">
        <v>425</v>
      </c>
      <c r="V14" s="953">
        <f>IF($V$2&lt;4,SUMIFS(РегСкидка!$C$3:$C$619,РегСкидка!$D$3:$D$619,INDEX('Доставка по областям'!$G$2:$G$90,'ЛАЙТ Рязань'!$Q$5),РегСкидка!$B$3:$B$619,T14,РегСкидка!$E$3:$E$619,$V$7)/100*IF(OR($V$3=1,$V$3=2,$V$3=3,$V$3=4),1,0),0)</f>
        <v>0</v>
      </c>
      <c r="W14" s="1226"/>
      <c r="X14" s="4"/>
      <c r="Y14" s="1234"/>
    </row>
    <row r="15" spans="1:26" ht="22.5" customHeight="1" thickBot="1" x14ac:dyDescent="0.3">
      <c r="A15" s="1247"/>
      <c r="B15" s="240">
        <v>1200</v>
      </c>
      <c r="C15" s="241">
        <v>600</v>
      </c>
      <c r="D15" s="242">
        <v>150</v>
      </c>
      <c r="E15" s="257" t="s">
        <v>485</v>
      </c>
      <c r="F15" s="295" t="s">
        <v>46</v>
      </c>
      <c r="G15" s="613">
        <f>IFERROR(H15*'Лайт+АКУСТИК DDP'!O15," ")</f>
        <v>290.30399999999997</v>
      </c>
      <c r="H15" s="258">
        <f>ROUNDUP(10000/35/'Лайт+АКУСТИК DDP'!O15,0)</f>
        <v>42</v>
      </c>
      <c r="I15" s="831" t="s">
        <v>179</v>
      </c>
      <c r="J15" s="128">
        <v>4</v>
      </c>
      <c r="K15" s="167">
        <v>2.88</v>
      </c>
      <c r="L15" s="129">
        <v>0.432</v>
      </c>
      <c r="M15" s="130">
        <v>16</v>
      </c>
      <c r="N15" s="174">
        <v>6.9119999999999999</v>
      </c>
      <c r="O15" s="260">
        <v>76.031999999999996</v>
      </c>
      <c r="P15" s="129">
        <v>103.68</v>
      </c>
      <c r="Q15" s="614">
        <f t="shared" si="0"/>
        <v>599.61599999999999</v>
      </c>
      <c r="R15" s="655">
        <v>1388</v>
      </c>
      <c r="S15" s="615">
        <f t="shared" si="1"/>
        <v>208.2</v>
      </c>
      <c r="T15" s="745" t="s">
        <v>425</v>
      </c>
      <c r="V15" s="953">
        <f>IF($V$2&lt;4,SUMIFS(РегСкидка!$C$3:$C$619,РегСкидка!$D$3:$D$619,INDEX('Доставка по областям'!$G$2:$G$90,'ЛАЙТ Рязань'!$Q$5),РегСкидка!$B$3:$B$619,T15,РегСкидка!$E$3:$E$619,$V$7)/100*IF(OR($V$3=1,$V$3=2,$V$3=3,$V$3=4),1,0),0)</f>
        <v>0</v>
      </c>
      <c r="W15" s="1226"/>
      <c r="X15" s="4"/>
      <c r="Y15" s="1234"/>
    </row>
    <row r="16" spans="1:26" ht="42.75" customHeight="1" thickBot="1" x14ac:dyDescent="0.3">
      <c r="A16" s="1271" t="s">
        <v>84</v>
      </c>
      <c r="B16" s="249">
        <v>1200</v>
      </c>
      <c r="C16" s="287">
        <v>600</v>
      </c>
      <c r="D16" s="288">
        <v>50</v>
      </c>
      <c r="E16" s="253" t="s">
        <v>99</v>
      </c>
      <c r="F16" s="664" t="s">
        <v>238</v>
      </c>
      <c r="G16" s="1177" t="str">
        <f>IFERROR(H16*'Лайт+АКУСТИК DDP'!O16," ")</f>
        <v xml:space="preserve"> </v>
      </c>
      <c r="H16" s="259" t="s">
        <v>528</v>
      </c>
      <c r="I16" s="259" t="s">
        <v>83</v>
      </c>
      <c r="J16" s="131">
        <v>12</v>
      </c>
      <c r="K16" s="168">
        <v>8.64</v>
      </c>
      <c r="L16" s="132">
        <v>0.432</v>
      </c>
      <c r="M16" s="133">
        <v>16</v>
      </c>
      <c r="N16" s="172">
        <v>6.9119999999999999</v>
      </c>
      <c r="O16" s="223">
        <v>76.031999999999996</v>
      </c>
      <c r="P16" s="132"/>
      <c r="Q16" s="88">
        <v>669.6</v>
      </c>
      <c r="R16" s="99">
        <v>1724</v>
      </c>
      <c r="S16" s="101">
        <v>77.5</v>
      </c>
      <c r="T16" s="745" t="s">
        <v>425</v>
      </c>
      <c r="V16" s="953">
        <f>IF($V$2&lt;4,SUMIFS(РегСкидка!$C$3:$C$619,РегСкидка!$D$3:$D$619,INDEX('Доставка по областям'!$G$2:$G$90,'ЛАЙТ Рязань'!$Q$5),РегСкидка!$B$3:$B$619,T16,РегСкидка!$E$3:$E$619,$V$7)/100*IF(OR($V$3=1,$V$3=2,$V$3=3,$V$3=4),1,0),0)</f>
        <v>0</v>
      </c>
      <c r="W16" s="1227"/>
      <c r="X16" s="4"/>
      <c r="Y16" s="1234"/>
    </row>
    <row r="17" spans="1:25" ht="22.5" customHeight="1" thickBot="1" x14ac:dyDescent="0.3">
      <c r="A17" s="1271"/>
      <c r="B17" s="203">
        <v>1200</v>
      </c>
      <c r="C17" s="204">
        <v>600</v>
      </c>
      <c r="D17" s="209">
        <v>60</v>
      </c>
      <c r="E17" s="254" t="s">
        <v>100</v>
      </c>
      <c r="F17" s="238" t="s">
        <v>46</v>
      </c>
      <c r="G17" s="1176">
        <f>IFERROR(H17*'Лайт+АКУСТИК DDP'!O17," ")</f>
        <v>297.21600000000001</v>
      </c>
      <c r="H17" s="124">
        <f>ROUNDUP(10000/34/'Лайт+АКУСТИК DDP'!O17,0)</f>
        <v>43</v>
      </c>
      <c r="I17" s="170">
        <v>1078.2719999999999</v>
      </c>
      <c r="J17" s="125">
        <v>10</v>
      </c>
      <c r="K17" s="166">
        <v>7.2</v>
      </c>
      <c r="L17" s="126">
        <v>0.432</v>
      </c>
      <c r="M17" s="127">
        <v>16</v>
      </c>
      <c r="N17" s="173">
        <v>6.9119999999999999</v>
      </c>
      <c r="O17" s="223">
        <v>76.031999999999996</v>
      </c>
      <c r="P17" s="126"/>
      <c r="Q17" s="88">
        <f t="shared" ref="Q17:Q66" si="4">L17*R17</f>
        <v>744.76800000000003</v>
      </c>
      <c r="R17" s="643">
        <v>1724</v>
      </c>
      <c r="S17" s="101">
        <f t="shared" ref="S17:S66" si="5">R17*D17/1000</f>
        <v>103.44</v>
      </c>
      <c r="T17" s="745" t="s">
        <v>425</v>
      </c>
      <c r="V17" s="953">
        <f>IF($V$2&lt;4,SUMIFS(РегСкидка!$C$3:$C$619,РегСкидка!$D$3:$D$619,INDEX('Доставка по областям'!$G$2:$G$90,'ЛАЙТ Рязань'!$Q$5),РегСкидка!$B$3:$B$619,T17,РегСкидка!$E$3:$E$619,$V$7)/100*IF(OR($V$3=1,$V$3=2,$V$3=3,$V$3=4),1,0),0)</f>
        <v>0</v>
      </c>
      <c r="W17" s="1227"/>
      <c r="X17" s="4"/>
      <c r="Y17" s="1234"/>
    </row>
    <row r="18" spans="1:25" ht="22.5" customHeight="1" thickBot="1" x14ac:dyDescent="0.3">
      <c r="A18" s="1271"/>
      <c r="B18" s="203">
        <v>1200</v>
      </c>
      <c r="C18" s="204">
        <v>600</v>
      </c>
      <c r="D18" s="209">
        <v>70</v>
      </c>
      <c r="E18" s="254" t="s">
        <v>101</v>
      </c>
      <c r="F18" s="238" t="s">
        <v>46</v>
      </c>
      <c r="G18" s="1176">
        <f>IFERROR(H18*'Лайт+АКУСТИК DDP'!O18," ")</f>
        <v>296.7552</v>
      </c>
      <c r="H18" s="124">
        <f>ROUNDUP(10000/34/'Лайт+АКУСТИК DDP'!O18,0)</f>
        <v>46</v>
      </c>
      <c r="I18" s="170">
        <v>1045.0944</v>
      </c>
      <c r="J18" s="125">
        <v>8</v>
      </c>
      <c r="K18" s="166">
        <v>5.7600000000000007</v>
      </c>
      <c r="L18" s="126">
        <v>0.4032</v>
      </c>
      <c r="M18" s="127">
        <v>16</v>
      </c>
      <c r="N18" s="173">
        <v>6.4512</v>
      </c>
      <c r="O18" s="223">
        <v>70.963200000000001</v>
      </c>
      <c r="P18" s="126"/>
      <c r="Q18" s="88">
        <f t="shared" si="4"/>
        <v>695.11680000000001</v>
      </c>
      <c r="R18" s="643">
        <v>1724</v>
      </c>
      <c r="S18" s="101">
        <f t="shared" si="5"/>
        <v>120.68</v>
      </c>
      <c r="T18" s="745" t="s">
        <v>425</v>
      </c>
      <c r="V18" s="953">
        <f>IF($V$2&lt;4,SUMIFS(РегСкидка!$C$3:$C$619,РегСкидка!$D$3:$D$619,INDEX('Доставка по областям'!$G$2:$G$90,'ЛАЙТ Рязань'!$Q$5),РегСкидка!$B$3:$B$619,T18,РегСкидка!$E$3:$E$619,$V$7)/100*IF(OR($V$3=1,$V$3=2,$V$3=3,$V$3=4),1,0),0)</f>
        <v>0</v>
      </c>
      <c r="W18" s="1227"/>
      <c r="X18" s="4"/>
      <c r="Y18" s="1234"/>
    </row>
    <row r="19" spans="1:25" ht="22.5" customHeight="1" thickBot="1" x14ac:dyDescent="0.3">
      <c r="A19" s="1271"/>
      <c r="B19" s="203">
        <v>1200</v>
      </c>
      <c r="C19" s="204">
        <v>600</v>
      </c>
      <c r="D19" s="209">
        <v>80</v>
      </c>
      <c r="E19" s="254" t="s">
        <v>102</v>
      </c>
      <c r="F19" s="238" t="s">
        <v>46</v>
      </c>
      <c r="G19" s="1176">
        <f>IFERROR(H19*'Лайт+АКУСТИК DDP'!O19," ")</f>
        <v>297.21600000000001</v>
      </c>
      <c r="H19" s="124">
        <f>ROUNDUP(10000/34/'Лайт+АКУСТИК DDP'!O19,0)</f>
        <v>43</v>
      </c>
      <c r="I19" s="170">
        <v>1119.7440000000001</v>
      </c>
      <c r="J19" s="125">
        <v>6</v>
      </c>
      <c r="K19" s="166">
        <v>4.32</v>
      </c>
      <c r="L19" s="126">
        <v>0.34560000000000002</v>
      </c>
      <c r="M19" s="127">
        <v>20</v>
      </c>
      <c r="N19" s="173">
        <v>6.9120000000000008</v>
      </c>
      <c r="O19" s="223">
        <v>76.032000000000011</v>
      </c>
      <c r="P19" s="126"/>
      <c r="Q19" s="88">
        <f t="shared" si="4"/>
        <v>595.81439999999998</v>
      </c>
      <c r="R19" s="643">
        <v>1724</v>
      </c>
      <c r="S19" s="101">
        <f t="shared" si="5"/>
        <v>137.91999999999999</v>
      </c>
      <c r="T19" s="745" t="s">
        <v>425</v>
      </c>
      <c r="V19" s="953">
        <f>IF($V$2&lt;4,SUMIFS(РегСкидка!$C$3:$C$619,РегСкидка!$D$3:$D$619,INDEX('Доставка по областям'!$G$2:$G$90,'ЛАЙТ Рязань'!$Q$5),РегСкидка!$B$3:$B$619,T19,РегСкидка!$E$3:$E$619,$V$7)/100*IF(OR($V$3=1,$V$3=2,$V$3=3,$V$3=4),1,0),0)</f>
        <v>0</v>
      </c>
      <c r="W19" s="1227"/>
      <c r="X19" s="4"/>
      <c r="Y19" s="1234"/>
    </row>
    <row r="20" spans="1:25" ht="22.5" customHeight="1" thickBot="1" x14ac:dyDescent="0.3">
      <c r="A20" s="1271"/>
      <c r="B20" s="203">
        <v>1200</v>
      </c>
      <c r="C20" s="204">
        <v>600</v>
      </c>
      <c r="D20" s="209">
        <v>90</v>
      </c>
      <c r="E20" s="254" t="s">
        <v>103</v>
      </c>
      <c r="F20" s="238" t="s">
        <v>46</v>
      </c>
      <c r="G20" s="1176">
        <f>IFERROR(H20*'Лайт+АКУСТИК DDP'!O20," ")</f>
        <v>298.59840000000003</v>
      </c>
      <c r="H20" s="124">
        <f>ROUNDUP(10000/34/'Лайт+АКУСТИК DDP'!O20,0)</f>
        <v>48</v>
      </c>
      <c r="I20" s="170">
        <v>1007.7696000000001</v>
      </c>
      <c r="J20" s="125">
        <v>6</v>
      </c>
      <c r="K20" s="166">
        <v>4.32</v>
      </c>
      <c r="L20" s="126">
        <v>0.38879999999999998</v>
      </c>
      <c r="M20" s="127">
        <v>16</v>
      </c>
      <c r="N20" s="173">
        <v>6.2207999999999997</v>
      </c>
      <c r="O20" s="223">
        <v>68.428799999999995</v>
      </c>
      <c r="P20" s="126"/>
      <c r="Q20" s="88">
        <f t="shared" si="4"/>
        <v>670.2912</v>
      </c>
      <c r="R20" s="643">
        <v>1724</v>
      </c>
      <c r="S20" s="101">
        <f t="shared" si="5"/>
        <v>155.16</v>
      </c>
      <c r="T20" s="745" t="s">
        <v>425</v>
      </c>
      <c r="V20" s="953">
        <f>IF($V$2&lt;4,SUMIFS(РегСкидка!$C$3:$C$619,РегСкидка!$D$3:$D$619,INDEX('Доставка по областям'!$G$2:$G$90,'ЛАЙТ Рязань'!$Q$5),РегСкидка!$B$3:$B$619,T20,РегСкидка!$E$3:$E$619,$V$7)/100*IF(OR($V$3=1,$V$3=2,$V$3=3,$V$3=4),1,0),0)</f>
        <v>0</v>
      </c>
      <c r="W20" s="1227"/>
      <c r="X20" s="4"/>
      <c r="Y20" s="1234"/>
    </row>
    <row r="21" spans="1:25" ht="22.5" customHeight="1" thickBot="1" x14ac:dyDescent="0.3">
      <c r="A21" s="1271"/>
      <c r="B21" s="203">
        <v>1200</v>
      </c>
      <c r="C21" s="204">
        <v>600</v>
      </c>
      <c r="D21" s="209">
        <v>100</v>
      </c>
      <c r="E21" s="254" t="s">
        <v>89</v>
      </c>
      <c r="F21" s="238" t="s">
        <v>238</v>
      </c>
      <c r="G21" s="1176" t="str">
        <f>IFERROR(H21*'Лайт+АКУСТИК DDP'!O21," ")</f>
        <v xml:space="preserve"> </v>
      </c>
      <c r="H21" s="124" t="s">
        <v>528</v>
      </c>
      <c r="I21" s="170" t="s">
        <v>83</v>
      </c>
      <c r="J21" s="125">
        <v>6</v>
      </c>
      <c r="K21" s="166">
        <v>4.32</v>
      </c>
      <c r="L21" s="126">
        <v>0.432</v>
      </c>
      <c r="M21" s="127">
        <v>16</v>
      </c>
      <c r="N21" s="173">
        <v>6.9119999999999999</v>
      </c>
      <c r="O21" s="223">
        <v>76.031999999999996</v>
      </c>
      <c r="P21" s="126"/>
      <c r="Q21" s="88">
        <f t="shared" si="4"/>
        <v>744.76800000000003</v>
      </c>
      <c r="R21" s="643">
        <v>1724</v>
      </c>
      <c r="S21" s="101">
        <f t="shared" si="5"/>
        <v>172.4</v>
      </c>
      <c r="T21" s="745" t="s">
        <v>425</v>
      </c>
      <c r="V21" s="953">
        <f>IF($V$2&lt;4,SUMIFS(РегСкидка!$C$3:$C$619,РегСкидка!$D$3:$D$619,INDEX('Доставка по областям'!$G$2:$G$90,'ЛАЙТ Рязань'!$Q$5),РегСкидка!$B$3:$B$619,T21,РегСкидка!$E$3:$E$619,$V$7)/100*IF(OR($V$3=1,$V$3=2,$V$3=3,$V$3=4),1,0),0)</f>
        <v>0</v>
      </c>
      <c r="W21" s="1227"/>
      <c r="X21" s="4"/>
      <c r="Y21" s="1234"/>
    </row>
    <row r="22" spans="1:25" ht="22.5" customHeight="1" thickBot="1" x14ac:dyDescent="0.3">
      <c r="A22" s="1271"/>
      <c r="B22" s="203">
        <v>1200</v>
      </c>
      <c r="C22" s="204">
        <v>600</v>
      </c>
      <c r="D22" s="209">
        <v>110</v>
      </c>
      <c r="E22" s="254" t="s">
        <v>90</v>
      </c>
      <c r="F22" s="238" t="s">
        <v>46</v>
      </c>
      <c r="G22" s="1176">
        <f>IFERROR(H22*'Лайт+АКУСТИК DDP'!O22," ")</f>
        <v>297.79200000000003</v>
      </c>
      <c r="H22" s="124">
        <f>ROUNDUP(10000/34/'Лайт+АКУСТИК DDP'!O22,0)</f>
        <v>47</v>
      </c>
      <c r="I22" s="170">
        <v>969.40800000000013</v>
      </c>
      <c r="J22" s="125">
        <v>4</v>
      </c>
      <c r="K22" s="166">
        <v>2.8800000000000003</v>
      </c>
      <c r="L22" s="132">
        <v>0.31680000000000003</v>
      </c>
      <c r="M22" s="127">
        <v>20</v>
      </c>
      <c r="N22" s="173">
        <v>6.3360000000000003</v>
      </c>
      <c r="O22" s="223">
        <v>69.695999999999998</v>
      </c>
      <c r="P22" s="126"/>
      <c r="Q22" s="88">
        <f t="shared" si="4"/>
        <v>546.16320000000007</v>
      </c>
      <c r="R22" s="643">
        <v>1724</v>
      </c>
      <c r="S22" s="101">
        <f t="shared" si="5"/>
        <v>189.64</v>
      </c>
      <c r="T22" s="745" t="s">
        <v>425</v>
      </c>
      <c r="V22" s="953">
        <f>IF($V$2&lt;4,SUMIFS(РегСкидка!$C$3:$C$619,РегСкидка!$D$3:$D$619,INDEX('Доставка по областям'!$G$2:$G$90,'ЛАЙТ Рязань'!$Q$5),РегСкидка!$B$3:$B$619,T22,РегСкидка!$E$3:$E$619,$V$7)/100*IF(OR($V$3=1,$V$3=2,$V$3=3,$V$3=4),1,0),0)</f>
        <v>0</v>
      </c>
      <c r="W22" s="1227"/>
      <c r="X22" s="4"/>
      <c r="Y22" s="1234"/>
    </row>
    <row r="23" spans="1:25" ht="22.5" customHeight="1" thickBot="1" x14ac:dyDescent="0.3">
      <c r="A23" s="1271"/>
      <c r="B23" s="203">
        <v>1200</v>
      </c>
      <c r="C23" s="204">
        <v>600</v>
      </c>
      <c r="D23" s="209">
        <v>120</v>
      </c>
      <c r="E23" s="254" t="s">
        <v>91</v>
      </c>
      <c r="F23" s="238" t="s">
        <v>46</v>
      </c>
      <c r="G23" s="1176">
        <f>IFERROR(H23*'Лайт+АКУСТИК DDP'!O23," ")</f>
        <v>297.21600000000001</v>
      </c>
      <c r="H23" s="124">
        <f>ROUNDUP(10000/34/'Лайт+АКУСТИК DDP'!O23,0)</f>
        <v>43</v>
      </c>
      <c r="I23" s="170">
        <v>974.59199999999987</v>
      </c>
      <c r="J23" s="125">
        <v>5</v>
      </c>
      <c r="K23" s="166">
        <v>3.6</v>
      </c>
      <c r="L23" s="126">
        <v>0.432</v>
      </c>
      <c r="M23" s="127">
        <v>16</v>
      </c>
      <c r="N23" s="173">
        <v>6.9119999999999999</v>
      </c>
      <c r="O23" s="223">
        <v>76.031999999999996</v>
      </c>
      <c r="P23" s="126"/>
      <c r="Q23" s="88">
        <f t="shared" si="4"/>
        <v>744.76800000000003</v>
      </c>
      <c r="R23" s="643">
        <v>1724</v>
      </c>
      <c r="S23" s="101">
        <f t="shared" si="5"/>
        <v>206.88</v>
      </c>
      <c r="T23" s="745" t="s">
        <v>425</v>
      </c>
      <c r="V23" s="953">
        <f>IF($V$2&lt;4,SUMIFS(РегСкидка!$C$3:$C$619,РегСкидка!$D$3:$D$619,INDEX('Доставка по областям'!$G$2:$G$90,'ЛАЙТ Рязань'!$Q$5),РегСкидка!$B$3:$B$619,T23,РегСкидка!$E$3:$E$619,$V$7)/100*IF(OR($V$3=1,$V$3=2,$V$3=3,$V$3=4),1,0),0)</f>
        <v>0</v>
      </c>
      <c r="W23" s="1227"/>
      <c r="X23" s="4"/>
      <c r="Y23" s="1234"/>
    </row>
    <row r="24" spans="1:25" ht="22.5" customHeight="1" thickBot="1" x14ac:dyDescent="0.3">
      <c r="A24" s="1271"/>
      <c r="B24" s="203">
        <v>1200</v>
      </c>
      <c r="C24" s="204">
        <v>600</v>
      </c>
      <c r="D24" s="209">
        <v>130</v>
      </c>
      <c r="E24" s="254" t="s">
        <v>694</v>
      </c>
      <c r="F24" s="238" t="s">
        <v>46</v>
      </c>
      <c r="G24" s="1176">
        <f>IFERROR(H24*'Лайт+АКУСТИК DDP'!O24," ")</f>
        <v>296.52480000000003</v>
      </c>
      <c r="H24" s="124">
        <f>ROUNDUP(10000/34/'Лайт+АКУСТИК DDP'!O24,0)</f>
        <v>44</v>
      </c>
      <c r="I24" s="170"/>
      <c r="J24" s="125">
        <v>3</v>
      </c>
      <c r="K24" s="166">
        <v>2.16</v>
      </c>
      <c r="L24" s="126">
        <v>0.28079999999999999</v>
      </c>
      <c r="M24" s="127">
        <v>24</v>
      </c>
      <c r="N24" s="173">
        <v>6.7392000000000003</v>
      </c>
      <c r="O24" s="223">
        <v>74.131200000000007</v>
      </c>
      <c r="P24" s="126"/>
      <c r="Q24" s="88">
        <f t="shared" ref="Q24" si="6">L24*R24</f>
        <v>484.0992</v>
      </c>
      <c r="R24" s="643">
        <v>1724</v>
      </c>
      <c r="S24" s="101">
        <f t="shared" ref="S24" si="7">R24*D24/1000</f>
        <v>224.12</v>
      </c>
      <c r="T24" s="745" t="s">
        <v>425</v>
      </c>
      <c r="V24" s="953">
        <f>IF($V$2&lt;4,SUMIFS(РегСкидка!$C$3:$C$619,РегСкидка!$D$3:$D$619,INDEX('Доставка по областям'!$G$2:$G$90,'ЛАЙТ Рязань'!$Q$5),РегСкидка!$B$3:$B$619,T24,РегСкидка!$E$3:$E$619,$V$7)/100*IF(OR($V$3=1,$V$3=2,$V$3=3,$V$3=4),1,0),0)</f>
        <v>0</v>
      </c>
      <c r="W24" s="1227"/>
      <c r="X24" s="4"/>
      <c r="Y24" s="1234"/>
    </row>
    <row r="25" spans="1:25" ht="22.5" customHeight="1" thickBot="1" x14ac:dyDescent="0.3">
      <c r="A25" s="1271"/>
      <c r="B25" s="203">
        <v>1200</v>
      </c>
      <c r="C25" s="204">
        <v>600</v>
      </c>
      <c r="D25" s="209">
        <v>140</v>
      </c>
      <c r="E25" s="254" t="s">
        <v>92</v>
      </c>
      <c r="F25" s="238" t="s">
        <v>46</v>
      </c>
      <c r="G25" s="1176">
        <f>IFERROR(H25*'Лайт+АКУСТИК DDP'!O25," ")</f>
        <v>296.7552</v>
      </c>
      <c r="H25" s="124">
        <f>ROUNDUP(10000/34/'Лайт+АКУСТИК DDP'!O25,0)</f>
        <v>46</v>
      </c>
      <c r="I25" s="170">
        <v>909.61920000000009</v>
      </c>
      <c r="J25" s="125">
        <v>4</v>
      </c>
      <c r="K25" s="166">
        <v>2.8800000000000003</v>
      </c>
      <c r="L25" s="126">
        <v>0.4032</v>
      </c>
      <c r="M25" s="127">
        <v>16</v>
      </c>
      <c r="N25" s="173">
        <v>6.4512</v>
      </c>
      <c r="O25" s="223">
        <v>70.963200000000001</v>
      </c>
      <c r="P25" s="126"/>
      <c r="Q25" s="88">
        <f t="shared" si="4"/>
        <v>695.11680000000001</v>
      </c>
      <c r="R25" s="643">
        <v>1724</v>
      </c>
      <c r="S25" s="101">
        <f t="shared" si="5"/>
        <v>241.36</v>
      </c>
      <c r="T25" s="745" t="s">
        <v>425</v>
      </c>
      <c r="V25" s="953">
        <f>IF($V$2&lt;4,SUMIFS(РегСкидка!$C$3:$C$619,РегСкидка!$D$3:$D$619,INDEX('Доставка по областям'!$G$2:$G$90,'ЛАЙТ Рязань'!$Q$5),РегСкидка!$B$3:$B$619,T25,РегСкидка!$E$3:$E$619,$V$7)/100*IF(OR($V$3=1,$V$3=2,$V$3=3,$V$3=4),1,0),0)</f>
        <v>0</v>
      </c>
      <c r="W25" s="1227"/>
      <c r="X25" s="4"/>
      <c r="Y25" s="1234"/>
    </row>
    <row r="26" spans="1:25" ht="22.5" customHeight="1" thickBot="1" x14ac:dyDescent="0.3">
      <c r="A26" s="1271"/>
      <c r="B26" s="203">
        <v>1200</v>
      </c>
      <c r="C26" s="204">
        <v>600</v>
      </c>
      <c r="D26" s="209">
        <v>150</v>
      </c>
      <c r="E26" s="254" t="s">
        <v>93</v>
      </c>
      <c r="F26" s="238" t="s">
        <v>46</v>
      </c>
      <c r="G26" s="1176">
        <f>IFERROR(H26*'Лайт+АКУСТИК DDP'!O26," ")</f>
        <v>297.21600000000001</v>
      </c>
      <c r="H26" s="124">
        <f>ROUNDUP(10000/34/'Лайт+АКУСТИК DDP'!O26,0)</f>
        <v>43</v>
      </c>
      <c r="I26" s="170">
        <v>974.59199999999987</v>
      </c>
      <c r="J26" s="125">
        <v>4</v>
      </c>
      <c r="K26" s="166">
        <v>2.8800000000000003</v>
      </c>
      <c r="L26" s="126">
        <v>0.432</v>
      </c>
      <c r="M26" s="127">
        <v>16</v>
      </c>
      <c r="N26" s="173">
        <v>6.9119999999999999</v>
      </c>
      <c r="O26" s="223">
        <v>76.031999999999996</v>
      </c>
      <c r="P26" s="126"/>
      <c r="Q26" s="88">
        <f t="shared" si="4"/>
        <v>744.76800000000003</v>
      </c>
      <c r="R26" s="643">
        <v>1724</v>
      </c>
      <c r="S26" s="101">
        <f t="shared" si="5"/>
        <v>258.60000000000002</v>
      </c>
      <c r="T26" s="745" t="s">
        <v>425</v>
      </c>
      <c r="V26" s="953">
        <f>IF($V$2&lt;4,SUMIFS(РегСкидка!$C$3:$C$619,РегСкидка!$D$3:$D$619,INDEX('Доставка по областям'!$G$2:$G$90,'ЛАЙТ Рязань'!$Q$5),РегСкидка!$B$3:$B$619,T26,РегСкидка!$E$3:$E$619,$V$7)/100*IF(OR($V$3=1,$V$3=2,$V$3=3,$V$3=4),1,0),0)</f>
        <v>0</v>
      </c>
      <c r="W26" s="1227"/>
      <c r="X26" s="4"/>
      <c r="Y26" s="1234"/>
    </row>
    <row r="27" spans="1:25" ht="22.5" customHeight="1" thickBot="1" x14ac:dyDescent="0.3">
      <c r="A27" s="1271"/>
      <c r="B27" s="203">
        <v>1200</v>
      </c>
      <c r="C27" s="204">
        <v>600</v>
      </c>
      <c r="D27" s="209">
        <v>160</v>
      </c>
      <c r="E27" s="254" t="s">
        <v>94</v>
      </c>
      <c r="F27" s="238" t="s">
        <v>46</v>
      </c>
      <c r="G27" s="1176">
        <f>IFERROR(H27*'Лайт+АКУСТИК DDP'!O27," ")</f>
        <v>297.21600000000001</v>
      </c>
      <c r="H27" s="124">
        <f>ROUNDUP(10000/34/'Лайт+АКУСТИК DDP'!O27,0)</f>
        <v>43</v>
      </c>
      <c r="I27" s="170">
        <v>974.5920000000001</v>
      </c>
      <c r="J27" s="125">
        <v>3</v>
      </c>
      <c r="K27" s="166">
        <v>2.16</v>
      </c>
      <c r="L27" s="126">
        <v>0.34560000000000002</v>
      </c>
      <c r="M27" s="127">
        <v>20</v>
      </c>
      <c r="N27" s="173">
        <v>6.9120000000000008</v>
      </c>
      <c r="O27" s="223">
        <v>76.032000000000011</v>
      </c>
      <c r="P27" s="126"/>
      <c r="Q27" s="88">
        <f t="shared" si="4"/>
        <v>595.81439999999998</v>
      </c>
      <c r="R27" s="643">
        <v>1724</v>
      </c>
      <c r="S27" s="101">
        <f t="shared" si="5"/>
        <v>275.83999999999997</v>
      </c>
      <c r="T27" s="745" t="s">
        <v>425</v>
      </c>
      <c r="V27" s="953">
        <f>IF($V$2&lt;4,SUMIFS(РегСкидка!$C$3:$C$619,РегСкидка!$D$3:$D$619,INDEX('Доставка по областям'!$G$2:$G$90,'ЛАЙТ Рязань'!$Q$5),РегСкидка!$B$3:$B$619,T27,РегСкидка!$E$3:$E$619,$V$7)/100*IF(OR($V$3=1,$V$3=2,$V$3=3,$V$3=4),1,0),0)</f>
        <v>0</v>
      </c>
      <c r="W27" s="1227"/>
      <c r="X27" s="4"/>
      <c r="Y27" s="1234"/>
    </row>
    <row r="28" spans="1:25" ht="22.5" customHeight="1" thickBot="1" x14ac:dyDescent="0.3">
      <c r="A28" s="1271"/>
      <c r="B28" s="203">
        <v>1200</v>
      </c>
      <c r="C28" s="204">
        <v>600</v>
      </c>
      <c r="D28" s="209">
        <v>170</v>
      </c>
      <c r="E28" s="254" t="s">
        <v>95</v>
      </c>
      <c r="F28" s="238" t="s">
        <v>46</v>
      </c>
      <c r="G28" s="1176">
        <f>IFERROR(H28*'Лайт+АКУСТИК DDP'!O28," ")</f>
        <v>299.6352</v>
      </c>
      <c r="H28" s="124">
        <f>ROUNDUP(10000/34/'Лайт+АКУСТИК DDP'!O28,0)</f>
        <v>51</v>
      </c>
      <c r="I28" s="170">
        <v>828.40320000000008</v>
      </c>
      <c r="J28" s="125">
        <v>3</v>
      </c>
      <c r="K28" s="166">
        <v>2.16</v>
      </c>
      <c r="L28" s="126">
        <v>0.36720000000000003</v>
      </c>
      <c r="M28" s="127">
        <v>16</v>
      </c>
      <c r="N28" s="173">
        <v>5.8752000000000004</v>
      </c>
      <c r="O28" s="223">
        <v>64.627200000000002</v>
      </c>
      <c r="P28" s="126"/>
      <c r="Q28" s="88">
        <f t="shared" si="4"/>
        <v>633.05280000000005</v>
      </c>
      <c r="R28" s="643">
        <v>1724</v>
      </c>
      <c r="S28" s="101">
        <f t="shared" si="5"/>
        <v>293.08</v>
      </c>
      <c r="T28" s="745" t="s">
        <v>425</v>
      </c>
      <c r="V28" s="953">
        <f>IF($V$2&lt;4,SUMIFS(РегСкидка!$C$3:$C$619,РегСкидка!$D$3:$D$619,INDEX('Доставка по областям'!$G$2:$G$90,'ЛАЙТ Рязань'!$Q$5),РегСкидка!$B$3:$B$619,T28,РегСкидка!$E$3:$E$619,$V$7)/100*IF(OR($V$3=1,$V$3=2,$V$3=3,$V$3=4),1,0),0)</f>
        <v>0</v>
      </c>
      <c r="W28" s="1227"/>
      <c r="X28" s="4"/>
      <c r="Y28" s="1234"/>
    </row>
    <row r="29" spans="1:25" ht="22.5" customHeight="1" thickBot="1" x14ac:dyDescent="0.3">
      <c r="A29" s="1271"/>
      <c r="B29" s="203">
        <v>1200</v>
      </c>
      <c r="C29" s="204">
        <v>600</v>
      </c>
      <c r="D29" s="209">
        <v>180</v>
      </c>
      <c r="E29" s="254" t="s">
        <v>96</v>
      </c>
      <c r="F29" s="238" t="s">
        <v>46</v>
      </c>
      <c r="G29" s="1176">
        <f>IFERROR(H29*'Лайт+АКУСТИК DDP'!O29," ")</f>
        <v>298.59840000000003</v>
      </c>
      <c r="H29" s="124">
        <f>ROUNDUP(10000/34/'Лайт+АКУСТИК DDP'!O29,0)</f>
        <v>48</v>
      </c>
      <c r="I29" s="170">
        <v>877.13279999999986</v>
      </c>
      <c r="J29" s="125">
        <v>3</v>
      </c>
      <c r="K29" s="166">
        <v>2.16</v>
      </c>
      <c r="L29" s="126">
        <v>0.38879999999999998</v>
      </c>
      <c r="M29" s="127">
        <v>16</v>
      </c>
      <c r="N29" s="173">
        <v>6.2207999999999997</v>
      </c>
      <c r="O29" s="223">
        <v>68.428799999999995</v>
      </c>
      <c r="P29" s="126"/>
      <c r="Q29" s="88">
        <f t="shared" si="4"/>
        <v>670.2912</v>
      </c>
      <c r="R29" s="643">
        <v>1724</v>
      </c>
      <c r="S29" s="101">
        <f t="shared" si="5"/>
        <v>310.32</v>
      </c>
      <c r="T29" s="745" t="s">
        <v>425</v>
      </c>
      <c r="V29" s="953">
        <f>IF($V$2&lt;4,SUMIFS(РегСкидка!$C$3:$C$619,РегСкидка!$D$3:$D$619,INDEX('Доставка по областям'!$G$2:$G$90,'ЛАЙТ Рязань'!$Q$5),РегСкидка!$B$3:$B$619,T29,РегСкидка!$E$3:$E$619,$V$7)/100*IF(OR($V$3=1,$V$3=2,$V$3=3,$V$3=4),1,0),0)</f>
        <v>0</v>
      </c>
      <c r="W29" s="1227"/>
      <c r="X29" s="4"/>
      <c r="Y29" s="1234"/>
    </row>
    <row r="30" spans="1:25" ht="22.5" customHeight="1" thickBot="1" x14ac:dyDescent="0.3">
      <c r="A30" s="1271"/>
      <c r="B30" s="203">
        <v>1200</v>
      </c>
      <c r="C30" s="204">
        <v>600</v>
      </c>
      <c r="D30" s="209">
        <v>190</v>
      </c>
      <c r="E30" s="254" t="s">
        <v>97</v>
      </c>
      <c r="F30" s="238" t="s">
        <v>46</v>
      </c>
      <c r="G30" s="1176">
        <f>IFERROR(H30*'Лайт+АКУСТИК DDP'!O30," ")</f>
        <v>295.48800000000006</v>
      </c>
      <c r="H30" s="124">
        <f>ROUNDUP(10000/34/'Лайт+АКУСТИК DDP'!O30,0)</f>
        <v>45</v>
      </c>
      <c r="I30" s="170">
        <v>925.86239999999998</v>
      </c>
      <c r="J30" s="125">
        <v>3</v>
      </c>
      <c r="K30" s="166">
        <v>2.16</v>
      </c>
      <c r="L30" s="126">
        <v>0.41039999999999999</v>
      </c>
      <c r="M30" s="127">
        <v>16</v>
      </c>
      <c r="N30" s="173">
        <v>6.5663999999999998</v>
      </c>
      <c r="O30" s="223">
        <v>72.230400000000003</v>
      </c>
      <c r="P30" s="126"/>
      <c r="Q30" s="88">
        <f t="shared" si="4"/>
        <v>707.52959999999996</v>
      </c>
      <c r="R30" s="643">
        <v>1724</v>
      </c>
      <c r="S30" s="101">
        <f t="shared" si="5"/>
        <v>327.56</v>
      </c>
      <c r="T30" s="745" t="s">
        <v>425</v>
      </c>
      <c r="V30" s="953">
        <f>IF($V$2&lt;4,SUMIFS(РегСкидка!$C$3:$C$619,РегСкидка!$D$3:$D$619,INDEX('Доставка по областям'!$G$2:$G$90,'ЛАЙТ Рязань'!$Q$5),РегСкидка!$B$3:$B$619,T30,РегСкидка!$E$3:$E$619,$V$7)/100*IF(OR($V$3=1,$V$3=2,$V$3=3,$V$3=4),1,0),0)</f>
        <v>0</v>
      </c>
      <c r="W30" s="1227"/>
      <c r="X30" s="4"/>
      <c r="Y30" s="1234"/>
    </row>
    <row r="31" spans="1:25" ht="22.5" customHeight="1" thickBot="1" x14ac:dyDescent="0.3">
      <c r="A31" s="1272"/>
      <c r="B31" s="240">
        <v>1200</v>
      </c>
      <c r="C31" s="241">
        <v>600</v>
      </c>
      <c r="D31" s="242">
        <v>200</v>
      </c>
      <c r="E31" s="257" t="s">
        <v>98</v>
      </c>
      <c r="F31" s="238" t="s">
        <v>46</v>
      </c>
      <c r="G31" s="613">
        <f>IFERROR(H31*'Лайт+АКУСТИК DDP'!O31," ")</f>
        <v>297.21600000000001</v>
      </c>
      <c r="H31" s="258">
        <f>ROUNDUP(10000/34/'Лайт+АКУСТИК DDP'!O31,0)</f>
        <v>43</v>
      </c>
      <c r="I31" s="262">
        <v>974.59199999999987</v>
      </c>
      <c r="J31" s="128">
        <v>3</v>
      </c>
      <c r="K31" s="167">
        <v>2.16</v>
      </c>
      <c r="L31" s="129">
        <v>0.432</v>
      </c>
      <c r="M31" s="130">
        <v>16</v>
      </c>
      <c r="N31" s="248">
        <v>6.9119999999999999</v>
      </c>
      <c r="O31" s="243">
        <v>76.031999999999996</v>
      </c>
      <c r="P31" s="129"/>
      <c r="Q31" s="89">
        <f t="shared" si="4"/>
        <v>744.76800000000003</v>
      </c>
      <c r="R31" s="643">
        <v>1724</v>
      </c>
      <c r="S31" s="102">
        <f t="shared" si="5"/>
        <v>344.8</v>
      </c>
      <c r="T31" s="745" t="s">
        <v>425</v>
      </c>
      <c r="V31" s="953">
        <f>IF($V$2&lt;4,SUMIFS(РегСкидка!$C$3:$C$619,РегСкидка!$D$3:$D$619,INDEX('Доставка по областям'!$G$2:$G$90,'ЛАЙТ Рязань'!$Q$5),РегСкидка!$B$3:$B$619,T31,РегСкидка!$E$3:$E$619,$V$7)/100*IF(OR($V$3=1,$V$3=2,$V$3=3,$V$3=4),1,0),0)</f>
        <v>0</v>
      </c>
      <c r="W31" s="1227"/>
      <c r="X31" s="4"/>
      <c r="Y31" s="1234"/>
    </row>
    <row r="32" spans="1:25" ht="22.5" customHeight="1" thickBot="1" x14ac:dyDescent="0.3">
      <c r="A32" s="35" t="s">
        <v>8</v>
      </c>
      <c r="B32" s="252">
        <v>1200</v>
      </c>
      <c r="C32" s="250">
        <v>600</v>
      </c>
      <c r="D32" s="251">
        <v>50</v>
      </c>
      <c r="E32" s="253" t="s">
        <v>118</v>
      </c>
      <c r="F32" s="238" t="s">
        <v>238</v>
      </c>
      <c r="G32" s="1177" t="str">
        <f>IFERROR(H32*'Лайт+АКУСТИК DDP'!O32," ")</f>
        <v xml:space="preserve"> </v>
      </c>
      <c r="H32" s="259" t="s">
        <v>528</v>
      </c>
      <c r="I32" s="124" t="s">
        <v>83</v>
      </c>
      <c r="J32" s="131">
        <v>12</v>
      </c>
      <c r="K32" s="168">
        <v>8.64</v>
      </c>
      <c r="L32" s="132">
        <v>0.432</v>
      </c>
      <c r="M32" s="133">
        <v>16</v>
      </c>
      <c r="N32" s="225">
        <v>6.9119999999999999</v>
      </c>
      <c r="O32" s="226">
        <v>76.031999999999996</v>
      </c>
      <c r="P32" s="132"/>
      <c r="Q32" s="88">
        <f>L32*R32</f>
        <v>832.03200000000004</v>
      </c>
      <c r="R32" s="99">
        <v>1926</v>
      </c>
      <c r="S32" s="101">
        <f>R32*D32/1000</f>
        <v>96.3</v>
      </c>
      <c r="T32" s="745" t="s">
        <v>425</v>
      </c>
      <c r="V32" s="953">
        <f>IF($V$2&lt;4,SUMIFS(РегСкидка!$C$3:$C$619,РегСкидка!$D$3:$D$619,INDEX('Доставка по областям'!$G$2:$G$90,'ЛАЙТ Рязань'!$Q$5),РегСкидка!$B$3:$B$619,T32,РегСкидка!$E$3:$E$619,$V$7)/100*IF(OR($V$3=1,$V$3=2,$V$3=3,$V$3=4),1,0),0)</f>
        <v>0</v>
      </c>
      <c r="W32" s="1227"/>
      <c r="X32" s="4"/>
      <c r="Y32" s="1234"/>
    </row>
    <row r="33" spans="1:25" ht="22.5" customHeight="1" thickBot="1" x14ac:dyDescent="0.3">
      <c r="A33" s="1246" t="s">
        <v>31</v>
      </c>
      <c r="B33" s="203">
        <v>1200</v>
      </c>
      <c r="C33" s="204">
        <v>600</v>
      </c>
      <c r="D33" s="209">
        <v>60</v>
      </c>
      <c r="E33" s="254" t="s">
        <v>119</v>
      </c>
      <c r="F33" s="238" t="s">
        <v>46</v>
      </c>
      <c r="G33" s="1176">
        <f>IFERROR(H33*'Лайт+АКУСТИК DDP'!O33," ")</f>
        <v>269.56799999999998</v>
      </c>
      <c r="H33" s="124">
        <f>ROUNDUP(10000/38/'Лайт+АКУСТИК DDP'!O33,0)</f>
        <v>39</v>
      </c>
      <c r="I33" s="170">
        <v>953.85599999999999</v>
      </c>
      <c r="J33" s="125">
        <v>10</v>
      </c>
      <c r="K33" s="166">
        <v>7.2</v>
      </c>
      <c r="L33" s="126">
        <v>0.432</v>
      </c>
      <c r="M33" s="127">
        <v>16</v>
      </c>
      <c r="N33" s="175">
        <v>6.9119999999999999</v>
      </c>
      <c r="O33" s="227">
        <v>76.031999999999996</v>
      </c>
      <c r="P33" s="126"/>
      <c r="Q33" s="88">
        <f t="shared" si="4"/>
        <v>832.03200000000004</v>
      </c>
      <c r="R33" s="643">
        <v>1926</v>
      </c>
      <c r="S33" s="101">
        <f t="shared" si="5"/>
        <v>115.56</v>
      </c>
      <c r="T33" s="745" t="s">
        <v>425</v>
      </c>
      <c r="V33" s="953">
        <f>IF($V$2&lt;4,SUMIFS(РегСкидка!$C$3:$C$619,РегСкидка!$D$3:$D$619,INDEX('Доставка по областям'!$G$2:$G$90,'ЛАЙТ Рязань'!$Q$5),РегСкидка!$B$3:$B$619,T33,РегСкидка!$E$3:$E$619,$V$7)/100*IF(OR($V$3=1,$V$3=2,$V$3=3,$V$3=4),1,0),0)</f>
        <v>0</v>
      </c>
      <c r="W33" s="1227"/>
      <c r="X33" s="4"/>
      <c r="Y33" s="1234"/>
    </row>
    <row r="34" spans="1:25" ht="22.5" customHeight="1" thickBot="1" x14ac:dyDescent="0.3">
      <c r="A34" s="1246"/>
      <c r="B34" s="203">
        <v>1200</v>
      </c>
      <c r="C34" s="204">
        <v>600</v>
      </c>
      <c r="D34" s="209">
        <v>70</v>
      </c>
      <c r="E34" s="254" t="s">
        <v>120</v>
      </c>
      <c r="F34" s="238" t="s">
        <v>46</v>
      </c>
      <c r="G34" s="1176">
        <f>IFERROR(H34*'Лайт+АКУСТИК DDP'!O34," ")</f>
        <v>264.49919999999997</v>
      </c>
      <c r="H34" s="124">
        <f>ROUNDUP(10000/38/'Лайт+АКУСТИК DDP'!O34,0)</f>
        <v>41</v>
      </c>
      <c r="I34" s="170">
        <v>928.97280000000001</v>
      </c>
      <c r="J34" s="125">
        <v>8</v>
      </c>
      <c r="K34" s="166">
        <v>5.7600000000000007</v>
      </c>
      <c r="L34" s="126">
        <v>0.4032</v>
      </c>
      <c r="M34" s="127">
        <v>16</v>
      </c>
      <c r="N34" s="175">
        <v>6.4512</v>
      </c>
      <c r="O34" s="227">
        <v>70.963200000000001</v>
      </c>
      <c r="P34" s="126"/>
      <c r="Q34" s="88">
        <f t="shared" si="4"/>
        <v>776.56320000000005</v>
      </c>
      <c r="R34" s="643">
        <v>1926</v>
      </c>
      <c r="S34" s="101">
        <f t="shared" si="5"/>
        <v>134.82</v>
      </c>
      <c r="T34" s="745" t="s">
        <v>425</v>
      </c>
      <c r="V34" s="953">
        <f>IF($V$2&lt;4,SUMIFS(РегСкидка!$C$3:$C$619,РегСкидка!$D$3:$D$619,INDEX('Доставка по областям'!$G$2:$G$90,'ЛАЙТ Рязань'!$Q$5),РегСкидка!$B$3:$B$619,T34,РегСкидка!$E$3:$E$619,$V$7)/100*IF(OR($V$3=1,$V$3=2,$V$3=3,$V$3=4),1,0),0)</f>
        <v>0</v>
      </c>
      <c r="W34" s="1227"/>
      <c r="X34" s="4"/>
      <c r="Y34" s="1234"/>
    </row>
    <row r="35" spans="1:25" ht="22.5" customHeight="1" thickBot="1" x14ac:dyDescent="0.3">
      <c r="A35" s="1246"/>
      <c r="B35" s="203">
        <v>1200</v>
      </c>
      <c r="C35" s="204">
        <v>600</v>
      </c>
      <c r="D35" s="209">
        <v>80</v>
      </c>
      <c r="E35" s="254" t="s">
        <v>121</v>
      </c>
      <c r="F35" s="238" t="s">
        <v>46</v>
      </c>
      <c r="G35" s="1176">
        <f>IFERROR(H35*'Лайт+АКУСТИК DDP'!O35," ")</f>
        <v>269.56800000000004</v>
      </c>
      <c r="H35" s="124">
        <f>ROUNDUP(10000/38/'Лайт+АКУСТИК DDP'!O35,0)</f>
        <v>39</v>
      </c>
      <c r="I35" s="170">
        <v>870.91200000000003</v>
      </c>
      <c r="J35" s="125">
        <v>6</v>
      </c>
      <c r="K35" s="166">
        <v>4.32</v>
      </c>
      <c r="L35" s="126">
        <v>0.34560000000000002</v>
      </c>
      <c r="M35" s="127">
        <v>20</v>
      </c>
      <c r="N35" s="175">
        <v>6.9120000000000008</v>
      </c>
      <c r="O35" s="227">
        <v>76.032000000000011</v>
      </c>
      <c r="P35" s="126"/>
      <c r="Q35" s="88">
        <f t="shared" si="4"/>
        <v>665.62560000000008</v>
      </c>
      <c r="R35" s="643">
        <v>1926</v>
      </c>
      <c r="S35" s="101">
        <f t="shared" si="5"/>
        <v>154.08000000000001</v>
      </c>
      <c r="T35" s="745" t="s">
        <v>425</v>
      </c>
      <c r="V35" s="953">
        <f>IF($V$2&lt;4,SUMIFS(РегСкидка!$C$3:$C$619,РегСкидка!$D$3:$D$619,INDEX('Доставка по областям'!$G$2:$G$90,'ЛАЙТ Рязань'!$Q$5),РегСкидка!$B$3:$B$619,T35,РегСкидка!$E$3:$E$619,$V$7)/100*IF(OR($V$3=1,$V$3=2,$V$3=3,$V$3=4),1,0),0)</f>
        <v>0</v>
      </c>
      <c r="W35" s="1227"/>
      <c r="X35" s="4"/>
      <c r="Y35" s="1234"/>
    </row>
    <row r="36" spans="1:25" ht="22.5" customHeight="1" thickBot="1" x14ac:dyDescent="0.3">
      <c r="A36" s="1246"/>
      <c r="B36" s="203">
        <v>1200</v>
      </c>
      <c r="C36" s="204">
        <v>600</v>
      </c>
      <c r="D36" s="209">
        <v>90</v>
      </c>
      <c r="E36" s="254" t="s">
        <v>122</v>
      </c>
      <c r="F36" s="238" t="s">
        <v>46</v>
      </c>
      <c r="G36" s="1176">
        <f>IFERROR(H36*'Лайт+АКУСТИК DDP'!O36," ")</f>
        <v>267.49440000000004</v>
      </c>
      <c r="H36" s="124">
        <f>ROUNDUP(10000/38/'Лайт+АКУСТИК DDP'!O36,0)</f>
        <v>43</v>
      </c>
      <c r="I36" s="170">
        <v>858.47039999999993</v>
      </c>
      <c r="J36" s="125">
        <v>6</v>
      </c>
      <c r="K36" s="166">
        <v>4.32</v>
      </c>
      <c r="L36" s="126">
        <v>0.38879999999999998</v>
      </c>
      <c r="M36" s="127">
        <v>16</v>
      </c>
      <c r="N36" s="175">
        <v>6.2207999999999997</v>
      </c>
      <c r="O36" s="227">
        <v>68.428799999999995</v>
      </c>
      <c r="P36" s="126"/>
      <c r="Q36" s="88">
        <f t="shared" si="4"/>
        <v>748.8288</v>
      </c>
      <c r="R36" s="643">
        <v>1926</v>
      </c>
      <c r="S36" s="101">
        <f t="shared" si="5"/>
        <v>173.34</v>
      </c>
      <c r="T36" s="745" t="s">
        <v>425</v>
      </c>
      <c r="V36" s="953">
        <f>IF($V$2&lt;4,SUMIFS(РегСкидка!$C$3:$C$619,РегСкидка!$D$3:$D$619,INDEX('Доставка по областям'!$G$2:$G$90,'ЛАЙТ Рязань'!$Q$5),РегСкидка!$B$3:$B$619,T36,РегСкидка!$E$3:$E$619,$V$7)/100*IF(OR($V$3=1,$V$3=2,$V$3=3,$V$3=4),1,0),0)</f>
        <v>0</v>
      </c>
      <c r="W36" s="1227"/>
      <c r="X36" s="4"/>
      <c r="Y36" s="1234"/>
    </row>
    <row r="37" spans="1:25" ht="22.5" customHeight="1" thickBot="1" x14ac:dyDescent="0.3">
      <c r="A37" s="1246"/>
      <c r="B37" s="203">
        <v>1200</v>
      </c>
      <c r="C37" s="204">
        <v>600</v>
      </c>
      <c r="D37" s="209">
        <v>100</v>
      </c>
      <c r="E37" s="254" t="s">
        <v>123</v>
      </c>
      <c r="F37" s="238" t="s">
        <v>239</v>
      </c>
      <c r="G37" s="1176" t="str">
        <f>IFERROR(H37*'Лайт+АКУСТИК DDP'!O37," ")</f>
        <v xml:space="preserve"> </v>
      </c>
      <c r="H37" s="124" t="s">
        <v>528</v>
      </c>
      <c r="I37" s="224" t="s">
        <v>83</v>
      </c>
      <c r="J37" s="125">
        <v>6</v>
      </c>
      <c r="K37" s="166">
        <v>4.32</v>
      </c>
      <c r="L37" s="126">
        <v>0.432</v>
      </c>
      <c r="M37" s="127">
        <v>16</v>
      </c>
      <c r="N37" s="175">
        <v>6.9119999999999999</v>
      </c>
      <c r="O37" s="227">
        <v>76.031999999999996</v>
      </c>
      <c r="P37" s="126"/>
      <c r="Q37" s="88">
        <f t="shared" si="4"/>
        <v>832.03200000000004</v>
      </c>
      <c r="R37" s="643">
        <v>1926</v>
      </c>
      <c r="S37" s="101">
        <f t="shared" si="5"/>
        <v>192.6</v>
      </c>
      <c r="T37" s="745" t="s">
        <v>425</v>
      </c>
      <c r="V37" s="953">
        <f>IF($V$2&lt;4,SUMIFS(РегСкидка!$C$3:$C$619,РегСкидка!$D$3:$D$619,INDEX('Доставка по областям'!$G$2:$G$90,'ЛАЙТ Рязань'!$Q$5),РегСкидка!$B$3:$B$619,T37,РегСкидка!$E$3:$E$619,$V$7)/100*IF(OR($V$3=1,$V$3=2,$V$3=3,$V$3=4),1,0),0)</f>
        <v>0</v>
      </c>
      <c r="W37" s="1227"/>
      <c r="X37" s="4"/>
      <c r="Y37" s="1234"/>
    </row>
    <row r="38" spans="1:25" ht="22.5" customHeight="1" thickBot="1" x14ac:dyDescent="0.3">
      <c r="A38" s="1246"/>
      <c r="B38" s="203">
        <v>1200</v>
      </c>
      <c r="C38" s="204">
        <v>600</v>
      </c>
      <c r="D38" s="209">
        <v>110</v>
      </c>
      <c r="E38" s="254" t="s">
        <v>124</v>
      </c>
      <c r="F38" s="238" t="s">
        <v>46</v>
      </c>
      <c r="G38" s="1176">
        <f>IFERROR(H38*'Лайт+АКУСТИК DDP'!O38," ")</f>
        <v>266.11200000000002</v>
      </c>
      <c r="H38" s="124">
        <f>ROUNDUP(10000/38/'Лайт+АКУСТИК DDP'!O38,0)</f>
        <v>42</v>
      </c>
      <c r="I38" s="170">
        <v>874.36800000000005</v>
      </c>
      <c r="J38" s="125">
        <v>5</v>
      </c>
      <c r="K38" s="166">
        <v>3.6000000000000005</v>
      </c>
      <c r="L38" s="126">
        <v>0.39600000000000002</v>
      </c>
      <c r="M38" s="127">
        <v>16</v>
      </c>
      <c r="N38" s="175">
        <v>6.3360000000000003</v>
      </c>
      <c r="O38" s="227">
        <v>69.695999999999998</v>
      </c>
      <c r="P38" s="126"/>
      <c r="Q38" s="88">
        <f t="shared" si="4"/>
        <v>762.69600000000003</v>
      </c>
      <c r="R38" s="643">
        <v>1926</v>
      </c>
      <c r="S38" s="101">
        <f t="shared" si="5"/>
        <v>211.86</v>
      </c>
      <c r="T38" s="745" t="s">
        <v>425</v>
      </c>
      <c r="V38" s="953">
        <f>IF($V$2&lt;4,SUMIFS(РегСкидка!$C$3:$C$619,РегСкидка!$D$3:$D$619,INDEX('Доставка по областям'!$G$2:$G$90,'ЛАЙТ Рязань'!$Q$5),РегСкидка!$B$3:$B$619,T38,РегСкидка!$E$3:$E$619,$V$7)/100*IF(OR($V$3=1,$V$3=2,$V$3=3,$V$3=4),1,0),0)</f>
        <v>0</v>
      </c>
      <c r="W38" s="1227"/>
      <c r="X38" s="4"/>
      <c r="Y38" s="1234"/>
    </row>
    <row r="39" spans="1:25" ht="22.5" customHeight="1" thickBot="1" x14ac:dyDescent="0.3">
      <c r="A39" s="1246"/>
      <c r="B39" s="203">
        <v>1200</v>
      </c>
      <c r="C39" s="204">
        <v>600</v>
      </c>
      <c r="D39" s="209">
        <v>120</v>
      </c>
      <c r="E39" s="254" t="s">
        <v>125</v>
      </c>
      <c r="F39" s="238" t="s">
        <v>46</v>
      </c>
      <c r="G39" s="1176">
        <f>IFERROR(H39*'Лайт+АКУСТИК DDP'!O39," ")</f>
        <v>269.56799999999998</v>
      </c>
      <c r="H39" s="124">
        <f>ROUNDUP(10000/38/'Лайт+АКУСТИК DDP'!O39,0)</f>
        <v>39</v>
      </c>
      <c r="I39" s="170">
        <v>870.91199999999992</v>
      </c>
      <c r="J39" s="125">
        <v>5</v>
      </c>
      <c r="K39" s="166">
        <v>3.6</v>
      </c>
      <c r="L39" s="126">
        <v>0.432</v>
      </c>
      <c r="M39" s="127">
        <v>16</v>
      </c>
      <c r="N39" s="175">
        <v>6.9119999999999999</v>
      </c>
      <c r="O39" s="227">
        <v>76.031999999999996</v>
      </c>
      <c r="P39" s="126"/>
      <c r="Q39" s="88">
        <f t="shared" si="4"/>
        <v>832.03200000000004</v>
      </c>
      <c r="R39" s="643">
        <v>1926</v>
      </c>
      <c r="S39" s="101">
        <f t="shared" si="5"/>
        <v>231.12</v>
      </c>
      <c r="T39" s="745" t="s">
        <v>425</v>
      </c>
      <c r="V39" s="953">
        <f>IF($V$2&lt;4,SUMIFS(РегСкидка!$C$3:$C$619,РегСкидка!$D$3:$D$619,INDEX('Доставка по областям'!$G$2:$G$90,'ЛАЙТ Рязань'!$Q$5),РегСкидка!$B$3:$B$619,T39,РегСкидка!$E$3:$E$619,$V$7)/100*IF(OR($V$3=1,$V$3=2,$V$3=3,$V$3=4),1,0),0)</f>
        <v>0</v>
      </c>
      <c r="W39" s="1227"/>
      <c r="X39" s="4"/>
      <c r="Y39" s="1234"/>
    </row>
    <row r="40" spans="1:25" ht="22.5" customHeight="1" thickBot="1" x14ac:dyDescent="0.3">
      <c r="A40" s="1246"/>
      <c r="B40" s="203">
        <v>1200</v>
      </c>
      <c r="C40" s="204">
        <v>600</v>
      </c>
      <c r="D40" s="209">
        <v>130</v>
      </c>
      <c r="E40" s="254" t="s">
        <v>695</v>
      </c>
      <c r="F40" s="238" t="s">
        <v>46</v>
      </c>
      <c r="G40" s="1176">
        <f>IFERROR(H40*'Лайт+АКУСТИК DDP'!O40," ")</f>
        <v>269.56799999999998</v>
      </c>
      <c r="H40" s="124">
        <f>ROUNDUP(10000/38/'Лайт+АКУСТИК DDP'!O40,0)</f>
        <v>40</v>
      </c>
      <c r="I40" s="170"/>
      <c r="J40" s="125">
        <v>3</v>
      </c>
      <c r="K40" s="166">
        <v>2.16</v>
      </c>
      <c r="L40" s="126">
        <v>0.28079999999999999</v>
      </c>
      <c r="M40" s="127">
        <v>24</v>
      </c>
      <c r="N40" s="175">
        <v>6.7392000000000003</v>
      </c>
      <c r="O40" s="227">
        <v>74.131200000000007</v>
      </c>
      <c r="P40" s="126"/>
      <c r="Q40" s="88">
        <f t="shared" si="4"/>
        <v>540.82079999999996</v>
      </c>
      <c r="R40" s="643">
        <v>1926</v>
      </c>
      <c r="S40" s="101">
        <f t="shared" si="5"/>
        <v>250.38</v>
      </c>
      <c r="T40" s="745" t="s">
        <v>425</v>
      </c>
      <c r="V40" s="953">
        <f>IF($V$2&lt;4,SUMIFS(РегСкидка!$C$3:$C$619,РегСкидка!$D$3:$D$619,INDEX('Доставка по областям'!$G$2:$G$90,'ЛАЙТ Рязань'!$Q$5),РегСкидка!$B$3:$B$619,T40,РегСкидка!$E$3:$E$619,$V$7)/100*IF(OR($V$3=1,$V$3=2,$V$3=3,$V$3=4),1,0),0)</f>
        <v>0</v>
      </c>
      <c r="W40" s="1227"/>
      <c r="X40" s="4"/>
      <c r="Y40" s="1234"/>
    </row>
    <row r="41" spans="1:25" ht="22.5" customHeight="1" thickBot="1" x14ac:dyDescent="0.3">
      <c r="A41" s="1246"/>
      <c r="B41" s="203">
        <v>1200</v>
      </c>
      <c r="C41" s="204">
        <v>600</v>
      </c>
      <c r="D41" s="209">
        <v>140</v>
      </c>
      <c r="E41" s="254" t="s">
        <v>126</v>
      </c>
      <c r="F41" s="238" t="s">
        <v>46</v>
      </c>
      <c r="G41" s="1176">
        <f>IFERROR(H41*'Лайт+АКУСТИК DDP'!O41," ")</f>
        <v>264.49919999999997</v>
      </c>
      <c r="H41" s="124">
        <f>ROUNDUP(10000/38/'Лайт+АКУСТИК DDP'!O41,0)</f>
        <v>41</v>
      </c>
      <c r="I41" s="170">
        <v>870.91199999999992</v>
      </c>
      <c r="J41" s="125">
        <v>4</v>
      </c>
      <c r="K41" s="166">
        <v>2.8800000000000003</v>
      </c>
      <c r="L41" s="126">
        <v>0.4032</v>
      </c>
      <c r="M41" s="127">
        <v>16</v>
      </c>
      <c r="N41" s="175">
        <v>6.4512</v>
      </c>
      <c r="O41" s="227">
        <v>70.963200000000001</v>
      </c>
      <c r="P41" s="126"/>
      <c r="Q41" s="88">
        <f t="shared" si="4"/>
        <v>776.56320000000005</v>
      </c>
      <c r="R41" s="643">
        <v>1926</v>
      </c>
      <c r="S41" s="101">
        <f t="shared" si="5"/>
        <v>269.64</v>
      </c>
      <c r="T41" s="745" t="s">
        <v>425</v>
      </c>
      <c r="V41" s="953">
        <f>IF($V$2&lt;4,SUMIFS(РегСкидка!$C$3:$C$619,РегСкидка!$D$3:$D$619,INDEX('Доставка по областям'!$G$2:$G$90,'ЛАЙТ Рязань'!$Q$5),РегСкидка!$B$3:$B$619,T41,РегСкидка!$E$3:$E$619,$V$7)/100*IF(OR($V$3=1,$V$3=2,$V$3=3,$V$3=4),1,0),0)</f>
        <v>0</v>
      </c>
      <c r="W41" s="1227"/>
      <c r="X41" s="4"/>
      <c r="Y41" s="1234"/>
    </row>
    <row r="42" spans="1:25" ht="22.5" customHeight="1" thickBot="1" x14ac:dyDescent="0.3">
      <c r="A42" s="1246"/>
      <c r="B42" s="203">
        <v>1200</v>
      </c>
      <c r="C42" s="204">
        <v>600</v>
      </c>
      <c r="D42" s="209">
        <v>150</v>
      </c>
      <c r="E42" s="254" t="s">
        <v>127</v>
      </c>
      <c r="F42" s="238" t="s">
        <v>46</v>
      </c>
      <c r="G42" s="1176">
        <f>IFERROR(H42*'Лайт+АКУСТИК DDP'!O42," ")</f>
        <v>269.56799999999998</v>
      </c>
      <c r="H42" s="124">
        <f>ROUNDUP(10000/38/'Лайт+АКУСТИК DDP'!O42,0)</f>
        <v>39</v>
      </c>
      <c r="I42" s="170">
        <v>870.91199999999992</v>
      </c>
      <c r="J42" s="125">
        <v>4</v>
      </c>
      <c r="K42" s="166">
        <v>2.8800000000000003</v>
      </c>
      <c r="L42" s="126">
        <v>0.432</v>
      </c>
      <c r="M42" s="127">
        <v>16</v>
      </c>
      <c r="N42" s="175">
        <v>6.9119999999999999</v>
      </c>
      <c r="O42" s="227">
        <v>76.031999999999996</v>
      </c>
      <c r="P42" s="126"/>
      <c r="Q42" s="88">
        <f t="shared" si="4"/>
        <v>832.03200000000004</v>
      </c>
      <c r="R42" s="643">
        <v>1926</v>
      </c>
      <c r="S42" s="101">
        <f t="shared" si="5"/>
        <v>288.89999999999998</v>
      </c>
      <c r="T42" s="745" t="s">
        <v>425</v>
      </c>
      <c r="V42" s="953">
        <f>IF($V$2&lt;4,SUMIFS(РегСкидка!$C$3:$C$619,РегСкидка!$D$3:$D$619,INDEX('Доставка по областям'!$G$2:$G$90,'ЛАЙТ Рязань'!$Q$5),РегСкидка!$B$3:$B$619,T42,РегСкидка!$E$3:$E$619,$V$7)/100*IF(OR($V$3=1,$V$3=2,$V$3=3,$V$3=4),1,0),0)</f>
        <v>0</v>
      </c>
      <c r="W42" s="1227"/>
      <c r="X42" s="4"/>
      <c r="Y42" s="1234"/>
    </row>
    <row r="43" spans="1:25" ht="22.5" customHeight="1" thickBot="1" x14ac:dyDescent="0.3">
      <c r="A43" s="1246"/>
      <c r="B43" s="203">
        <v>1200</v>
      </c>
      <c r="C43" s="204">
        <v>600</v>
      </c>
      <c r="D43" s="209">
        <v>160</v>
      </c>
      <c r="E43" s="254" t="s">
        <v>128</v>
      </c>
      <c r="F43" s="238" t="s">
        <v>46</v>
      </c>
      <c r="G43" s="1176">
        <f>IFERROR(H43*'Лайт+АКУСТИК DDP'!O43," ")</f>
        <v>269.56800000000004</v>
      </c>
      <c r="H43" s="124">
        <f>ROUNDUP(10000/38/'Лайт+АКУСТИК DDP'!O43,0)</f>
        <v>39</v>
      </c>
      <c r="I43" s="170">
        <v>870.91200000000003</v>
      </c>
      <c r="J43" s="125">
        <v>3</v>
      </c>
      <c r="K43" s="166">
        <v>2.16</v>
      </c>
      <c r="L43" s="126">
        <v>0.34560000000000002</v>
      </c>
      <c r="M43" s="127">
        <v>20</v>
      </c>
      <c r="N43" s="175">
        <v>6.9120000000000008</v>
      </c>
      <c r="O43" s="227">
        <v>76.032000000000011</v>
      </c>
      <c r="P43" s="126"/>
      <c r="Q43" s="88">
        <f t="shared" si="4"/>
        <v>665.62560000000008</v>
      </c>
      <c r="R43" s="643">
        <v>1926</v>
      </c>
      <c r="S43" s="101">
        <f t="shared" si="5"/>
        <v>308.16000000000003</v>
      </c>
      <c r="T43" s="745" t="s">
        <v>425</v>
      </c>
      <c r="V43" s="953">
        <f>IF($V$2&lt;4,SUMIFS(РегСкидка!$C$3:$C$619,РегСкидка!$D$3:$D$619,INDEX('Доставка по областям'!$G$2:$G$90,'ЛАЙТ Рязань'!$Q$5),РегСкидка!$B$3:$B$619,T43,РегСкидка!$E$3:$E$619,$V$7)/100*IF(OR($V$3=1,$V$3=2,$V$3=3,$V$3=4),1,0),0)</f>
        <v>0</v>
      </c>
      <c r="W43" s="1227"/>
      <c r="X43" s="4"/>
      <c r="Y43" s="1234"/>
    </row>
    <row r="44" spans="1:25" ht="22.5" customHeight="1" thickBot="1" x14ac:dyDescent="0.3">
      <c r="A44" s="1246"/>
      <c r="B44" s="203">
        <v>1200</v>
      </c>
      <c r="C44" s="204">
        <v>600</v>
      </c>
      <c r="D44" s="209">
        <v>170</v>
      </c>
      <c r="E44" s="254" t="s">
        <v>129</v>
      </c>
      <c r="F44" s="238" t="s">
        <v>46</v>
      </c>
      <c r="G44" s="1176">
        <f>IFERROR(H44*'Лайт+АКУСТИК DDP'!O44," ")</f>
        <v>264.38400000000001</v>
      </c>
      <c r="H44" s="124">
        <f>ROUNDUP(10000/38/'Лайт+АКУСТИК DDP'!O44,0)</f>
        <v>45</v>
      </c>
      <c r="I44" s="170">
        <v>740.27520000000004</v>
      </c>
      <c r="J44" s="125">
        <v>3</v>
      </c>
      <c r="K44" s="166">
        <v>2.16</v>
      </c>
      <c r="L44" s="126">
        <v>0.36720000000000003</v>
      </c>
      <c r="M44" s="127">
        <v>16</v>
      </c>
      <c r="N44" s="175">
        <v>5.8752000000000004</v>
      </c>
      <c r="O44" s="227">
        <v>64.627200000000002</v>
      </c>
      <c r="P44" s="126"/>
      <c r="Q44" s="88">
        <f t="shared" si="4"/>
        <v>707.22720000000004</v>
      </c>
      <c r="R44" s="643">
        <v>1926</v>
      </c>
      <c r="S44" s="101">
        <f t="shared" si="5"/>
        <v>327.42</v>
      </c>
      <c r="T44" s="745" t="s">
        <v>425</v>
      </c>
      <c r="V44" s="953">
        <f>IF($V$2&lt;4,SUMIFS(РегСкидка!$C$3:$C$619,РегСкидка!$D$3:$D$619,INDEX('Доставка по областям'!$G$2:$G$90,'ЛАЙТ Рязань'!$Q$5),РегСкидка!$B$3:$B$619,T44,РегСкидка!$E$3:$E$619,$V$7)/100*IF(OR($V$3=1,$V$3=2,$V$3=3,$V$3=4),1,0),0)</f>
        <v>0</v>
      </c>
      <c r="W44" s="1227"/>
      <c r="X44" s="4"/>
      <c r="Y44" s="1234"/>
    </row>
    <row r="45" spans="1:25" ht="22.5" customHeight="1" thickBot="1" x14ac:dyDescent="0.3">
      <c r="A45" s="1246"/>
      <c r="B45" s="203">
        <v>1200</v>
      </c>
      <c r="C45" s="204">
        <v>600</v>
      </c>
      <c r="D45" s="209">
        <v>180</v>
      </c>
      <c r="E45" s="254" t="s">
        <v>130</v>
      </c>
      <c r="F45" s="238" t="s">
        <v>46</v>
      </c>
      <c r="G45" s="1176">
        <f>IFERROR(H45*'Лайт+АКУСТИК DDP'!O45," ")</f>
        <v>267.49440000000004</v>
      </c>
      <c r="H45" s="124">
        <f>ROUNDUP(10000/38/'Лайт+АКУСТИК DDP'!O45,0)</f>
        <v>43</v>
      </c>
      <c r="I45" s="170">
        <v>783.82079999999996</v>
      </c>
      <c r="J45" s="125">
        <v>3</v>
      </c>
      <c r="K45" s="166">
        <v>2.16</v>
      </c>
      <c r="L45" s="126">
        <v>0.38879999999999998</v>
      </c>
      <c r="M45" s="127">
        <v>16</v>
      </c>
      <c r="N45" s="175">
        <v>6.2207999999999997</v>
      </c>
      <c r="O45" s="227">
        <v>68.428799999999995</v>
      </c>
      <c r="P45" s="126"/>
      <c r="Q45" s="88">
        <f t="shared" si="4"/>
        <v>748.8288</v>
      </c>
      <c r="R45" s="643">
        <v>1926</v>
      </c>
      <c r="S45" s="101">
        <f t="shared" si="5"/>
        <v>346.68</v>
      </c>
      <c r="T45" s="745" t="s">
        <v>425</v>
      </c>
      <c r="V45" s="953">
        <f>IF($V$2&lt;4,SUMIFS(РегСкидка!$C$3:$C$619,РегСкидка!$D$3:$D$619,INDEX('Доставка по областям'!$G$2:$G$90,'ЛАЙТ Рязань'!$Q$5),РегСкидка!$B$3:$B$619,T45,РегСкидка!$E$3:$E$619,$V$7)/100*IF(OR($V$3=1,$V$3=2,$V$3=3,$V$3=4),1,0),0)</f>
        <v>0</v>
      </c>
      <c r="W45" s="1227"/>
      <c r="X45" s="4"/>
      <c r="Y45" s="1234"/>
    </row>
    <row r="46" spans="1:25" ht="22.5" customHeight="1" thickBot="1" x14ac:dyDescent="0.3">
      <c r="A46" s="1246"/>
      <c r="B46" s="203">
        <v>1200</v>
      </c>
      <c r="C46" s="204">
        <v>600</v>
      </c>
      <c r="D46" s="209">
        <v>190</v>
      </c>
      <c r="E46" s="254" t="s">
        <v>131</v>
      </c>
      <c r="F46" s="238" t="s">
        <v>46</v>
      </c>
      <c r="G46" s="1176">
        <f>IFERROR(H46*'Лайт+АКУСТИК DDP'!O46," ")</f>
        <v>269.22240000000005</v>
      </c>
      <c r="H46" s="124">
        <f>ROUNDUP(10000/38/'Лайт+АКУСТИК DDP'!O46,0)</f>
        <v>41</v>
      </c>
      <c r="I46" s="170">
        <v>827.36639999999989</v>
      </c>
      <c r="J46" s="125">
        <v>3</v>
      </c>
      <c r="K46" s="166">
        <v>2.16</v>
      </c>
      <c r="L46" s="126">
        <v>0.41039999999999999</v>
      </c>
      <c r="M46" s="127">
        <v>16</v>
      </c>
      <c r="N46" s="175">
        <v>6.5663999999999998</v>
      </c>
      <c r="O46" s="227">
        <v>72.230400000000003</v>
      </c>
      <c r="P46" s="126"/>
      <c r="Q46" s="88">
        <f t="shared" si="4"/>
        <v>790.43039999999996</v>
      </c>
      <c r="R46" s="643">
        <v>1926</v>
      </c>
      <c r="S46" s="101">
        <f t="shared" si="5"/>
        <v>365.94</v>
      </c>
      <c r="T46" s="745" t="s">
        <v>425</v>
      </c>
      <c r="V46" s="953">
        <f>IF($V$2&lt;4,SUMIFS(РегСкидка!$C$3:$C$619,РегСкидка!$D$3:$D$619,INDEX('Доставка по областям'!$G$2:$G$90,'ЛАЙТ Рязань'!$Q$5),РегСкидка!$B$3:$B$619,T46,РегСкидка!$E$3:$E$619,$V$7)/100*IF(OR($V$3=1,$V$3=2,$V$3=3,$V$3=4),1,0),0)</f>
        <v>0</v>
      </c>
      <c r="W46" s="1227"/>
      <c r="X46" s="4"/>
      <c r="Y46" s="1234"/>
    </row>
    <row r="47" spans="1:25" ht="22.5" customHeight="1" thickBot="1" x14ac:dyDescent="0.3">
      <c r="A47" s="1247"/>
      <c r="B47" s="240">
        <v>1200</v>
      </c>
      <c r="C47" s="241">
        <v>600</v>
      </c>
      <c r="D47" s="242">
        <v>200</v>
      </c>
      <c r="E47" s="257" t="s">
        <v>132</v>
      </c>
      <c r="F47" s="238" t="s">
        <v>46</v>
      </c>
      <c r="G47" s="613">
        <f>IFERROR(H47*'Лайт+АКУСТИК DDP'!O47," ")</f>
        <v>269.56799999999998</v>
      </c>
      <c r="H47" s="258">
        <f>ROUNDUP(10000/38/'Лайт+АКУСТИК DDP'!O47,0)</f>
        <v>39</v>
      </c>
      <c r="I47" s="262">
        <v>870.91199999999992</v>
      </c>
      <c r="J47" s="128">
        <v>3</v>
      </c>
      <c r="K47" s="167">
        <v>2.16</v>
      </c>
      <c r="L47" s="129">
        <v>0.432</v>
      </c>
      <c r="M47" s="130">
        <v>16</v>
      </c>
      <c r="N47" s="248">
        <v>6.9119999999999999</v>
      </c>
      <c r="O47" s="243">
        <v>76.031999999999996</v>
      </c>
      <c r="P47" s="129"/>
      <c r="Q47" s="89">
        <f t="shared" si="4"/>
        <v>832.03200000000004</v>
      </c>
      <c r="R47" s="643">
        <v>1926</v>
      </c>
      <c r="S47" s="102">
        <f t="shared" si="5"/>
        <v>385.2</v>
      </c>
      <c r="T47" s="745" t="s">
        <v>425</v>
      </c>
      <c r="V47" s="953">
        <f>IF($V$2&lt;4,SUMIFS(РегСкидка!$C$3:$C$619,РегСкидка!$D$3:$D$619,INDEX('Доставка по областям'!$G$2:$G$90,'ЛАЙТ Рязань'!$Q$5),РегСкидка!$B$3:$B$619,T47,РегСкидка!$E$3:$E$619,$V$7)/100*IF(OR($V$3=1,$V$3=2,$V$3=3,$V$3=4),1,0),0)</f>
        <v>0</v>
      </c>
      <c r="W47" s="1227"/>
      <c r="X47" s="4"/>
      <c r="Y47" s="1234"/>
    </row>
    <row r="48" spans="1:25" ht="22.5" customHeight="1" thickBot="1" x14ac:dyDescent="0.3">
      <c r="A48" s="35" t="s">
        <v>9</v>
      </c>
      <c r="B48" s="252">
        <v>1200</v>
      </c>
      <c r="C48" s="250">
        <v>600</v>
      </c>
      <c r="D48" s="251">
        <v>50</v>
      </c>
      <c r="E48" s="253" t="s">
        <v>104</v>
      </c>
      <c r="F48" s="238" t="s">
        <v>238</v>
      </c>
      <c r="G48" s="1177" t="str">
        <f>IFERROR(H48*'Лайт+АКУСТИК DDP'!O48," ")</f>
        <v xml:space="preserve"> </v>
      </c>
      <c r="H48" s="259" t="s">
        <v>528</v>
      </c>
      <c r="I48" s="224" t="s">
        <v>83</v>
      </c>
      <c r="J48" s="131">
        <v>12</v>
      </c>
      <c r="K48" s="168">
        <v>8.64</v>
      </c>
      <c r="L48" s="228">
        <v>0.432</v>
      </c>
      <c r="M48" s="133">
        <v>16</v>
      </c>
      <c r="N48" s="171">
        <v>6.9119999999999999</v>
      </c>
      <c r="O48" s="229">
        <v>76.031999999999996</v>
      </c>
      <c r="P48" s="228"/>
      <c r="Q48" s="88">
        <f>L48*R48</f>
        <v>844.99199999999996</v>
      </c>
      <c r="R48" s="99">
        <v>1956</v>
      </c>
      <c r="S48" s="101">
        <f>R48*D48/1000</f>
        <v>97.8</v>
      </c>
      <c r="T48" s="745" t="s">
        <v>713</v>
      </c>
      <c r="V48" s="953">
        <f>IF($V$2&lt;4,SUMIFS(РегСкидка!$C$3:$C$619,РегСкидка!$D$3:$D$619,INDEX('Доставка по областям'!$G$2:$G$90,'ЛАЙТ Рязань'!$Q$5),РегСкидка!$B$3:$B$619,T48,РегСкидка!$E$3:$E$619,$V$7)/100*IF(OR($V$3=1,$V$3=2,$V$3=3,$V$3=4),1,0),0)</f>
        <v>0</v>
      </c>
      <c r="W48" s="1227"/>
      <c r="X48" s="4"/>
      <c r="Y48" s="1234"/>
    </row>
    <row r="49" spans="1:25" ht="22.5" customHeight="1" thickBot="1" x14ac:dyDescent="0.3">
      <c r="A49" s="877"/>
      <c r="B49" s="203">
        <v>1200</v>
      </c>
      <c r="C49" s="204">
        <v>600</v>
      </c>
      <c r="D49" s="209">
        <v>50</v>
      </c>
      <c r="E49" s="254" t="s">
        <v>460</v>
      </c>
      <c r="F49" s="238" t="s">
        <v>238</v>
      </c>
      <c r="G49" s="1176" t="str">
        <f>IFERROR(H49*'Лайт+АКУСТИК DDP'!O49," ")</f>
        <v xml:space="preserve"> </v>
      </c>
      <c r="H49" s="124" t="s">
        <v>528</v>
      </c>
      <c r="I49" s="170"/>
      <c r="J49" s="125">
        <v>8</v>
      </c>
      <c r="K49" s="166"/>
      <c r="L49" s="126"/>
      <c r="M49" s="127"/>
      <c r="N49" s="173"/>
      <c r="O49" s="220">
        <v>76.031999999999996</v>
      </c>
      <c r="P49" s="126"/>
      <c r="Q49" s="88">
        <f t="shared" ref="Q49" si="8">L49*R49</f>
        <v>0</v>
      </c>
      <c r="R49" s="643">
        <v>1956</v>
      </c>
      <c r="S49" s="101">
        <f t="shared" ref="S49" si="9">R49*D49/1000</f>
        <v>97.8</v>
      </c>
      <c r="T49" s="745" t="s">
        <v>713</v>
      </c>
      <c r="V49" s="953">
        <f>IF($V$2&lt;4,SUMIFS(РегСкидка!$C$3:$C$619,РегСкидка!$D$3:$D$619,INDEX('Доставка по областям'!$G$2:$G$90,'ЛАЙТ Рязань'!$Q$5),РегСкидка!$B$3:$B$619,T49,РегСкидка!$E$3:$E$619,$V$7)/100*IF(OR($V$3=1,$V$3=2,$V$3=3,$V$3=4),1,0),0)</f>
        <v>0</v>
      </c>
      <c r="W49" s="1227"/>
      <c r="X49" s="4"/>
      <c r="Y49" s="1234"/>
    </row>
    <row r="50" spans="1:25" ht="22.5" customHeight="1" thickBot="1" x14ac:dyDescent="0.3">
      <c r="A50" s="76"/>
      <c r="B50" s="203">
        <v>1200</v>
      </c>
      <c r="C50" s="204">
        <v>600</v>
      </c>
      <c r="D50" s="209">
        <v>50</v>
      </c>
      <c r="E50" s="254" t="s">
        <v>610</v>
      </c>
      <c r="F50" s="238" t="s">
        <v>239</v>
      </c>
      <c r="G50" s="1176" t="str">
        <f>IFERROR(H50*'Лайт+АКУСТИК DDP'!O50," ")</f>
        <v xml:space="preserve"> </v>
      </c>
      <c r="H50" s="124" t="s">
        <v>528</v>
      </c>
      <c r="I50" s="170"/>
      <c r="J50" s="125">
        <v>6</v>
      </c>
      <c r="K50" s="166"/>
      <c r="L50" s="126"/>
      <c r="M50" s="127"/>
      <c r="N50" s="173"/>
      <c r="O50" s="220">
        <v>76.031999999999996</v>
      </c>
      <c r="P50" s="126"/>
      <c r="Q50" s="88" t="e">
        <f t="shared" ref="Q50" si="10">L50*R50</f>
        <v>#VALUE!</v>
      </c>
      <c r="R50" s="643" t="s">
        <v>528</v>
      </c>
      <c r="S50" s="101" t="e">
        <f t="shared" ref="S50" si="11">R50*D50/1000</f>
        <v>#VALUE!</v>
      </c>
      <c r="T50" s="745" t="s">
        <v>713</v>
      </c>
      <c r="V50" s="953">
        <f>IF($V$2&lt;4,SUMIFS(РегСкидка!$C$3:$C$619,РегСкидка!$D$3:$D$619,INDEX('Доставка по областям'!$G$2:$G$90,'ЛАЙТ Рязань'!$Q$5),РегСкидка!$B$3:$B$619,T50,РегСкидка!$E$3:$E$619,$V$7)/100*IF(OR($V$3=1,$V$3=2,$V$3=3,$V$3=4),1,0),0)</f>
        <v>0</v>
      </c>
      <c r="W50" s="1227"/>
      <c r="X50" s="4"/>
      <c r="Y50" s="1234"/>
    </row>
    <row r="51" spans="1:25" ht="22.5" customHeight="1" thickBot="1" x14ac:dyDescent="0.3">
      <c r="A51" s="708" t="s">
        <v>26</v>
      </c>
      <c r="B51" s="203">
        <v>1200</v>
      </c>
      <c r="C51" s="204">
        <v>600</v>
      </c>
      <c r="D51" s="209">
        <v>60</v>
      </c>
      <c r="E51" s="254" t="s">
        <v>105</v>
      </c>
      <c r="F51" s="1083" t="s">
        <v>239</v>
      </c>
      <c r="G51" s="1176" t="str">
        <f>IFERROR(H51*'Лайт+АКУСТИК DDP'!O51," ")</f>
        <v xml:space="preserve"> </v>
      </c>
      <c r="H51" s="124" t="s">
        <v>528</v>
      </c>
      <c r="I51" s="170">
        <v>746.49599999999998</v>
      </c>
      <c r="J51" s="125">
        <v>10</v>
      </c>
      <c r="K51" s="166">
        <v>7.2</v>
      </c>
      <c r="L51" s="126">
        <v>0.432</v>
      </c>
      <c r="M51" s="127">
        <v>16</v>
      </c>
      <c r="N51" s="173">
        <v>6.9119999999999999</v>
      </c>
      <c r="O51" s="220">
        <v>76.031999999999996</v>
      </c>
      <c r="P51" s="126"/>
      <c r="Q51" s="88">
        <f t="shared" si="4"/>
        <v>844.99199999999996</v>
      </c>
      <c r="R51" s="643">
        <v>1956</v>
      </c>
      <c r="S51" s="101">
        <f t="shared" si="5"/>
        <v>117.36</v>
      </c>
      <c r="T51" s="745" t="s">
        <v>713</v>
      </c>
      <c r="V51" s="953">
        <f>IF($V$2&lt;4,SUMIFS(РегСкидка!$C$3:$C$619,РегСкидка!$D$3:$D$619,INDEX('Доставка по областям'!$G$2:$G$90,'ЛАЙТ Рязань'!$Q$5),РегСкидка!$B$3:$B$619,T51,РегСкидка!$E$3:$E$619,$V$7)/100*IF(OR($V$3=1,$V$3=2,$V$3=3,$V$3=4),1,0),0)</f>
        <v>0</v>
      </c>
      <c r="W51" s="1227"/>
      <c r="X51" s="4"/>
      <c r="Y51" s="1234"/>
    </row>
    <row r="52" spans="1:25" ht="22.5" customHeight="1" thickBot="1" x14ac:dyDescent="0.3">
      <c r="A52" s="708"/>
      <c r="B52" s="203">
        <v>1200</v>
      </c>
      <c r="C52" s="204">
        <v>600</v>
      </c>
      <c r="D52" s="209">
        <v>70</v>
      </c>
      <c r="E52" s="254" t="s">
        <v>106</v>
      </c>
      <c r="F52" s="238" t="s">
        <v>46</v>
      </c>
      <c r="G52" s="1176">
        <f>IFERROR(H52*'Лайт+АКУСТИК DDP'!O52," ")</f>
        <v>225.792</v>
      </c>
      <c r="H52" s="124">
        <f>ROUNDUP(10000/45/'Лайт+АКУСТИК DDP'!O52,0)</f>
        <v>35</v>
      </c>
      <c r="I52" s="170">
        <v>716.08320000000003</v>
      </c>
      <c r="J52" s="125">
        <v>8</v>
      </c>
      <c r="K52" s="166">
        <v>5.7600000000000007</v>
      </c>
      <c r="L52" s="126">
        <v>0.4032</v>
      </c>
      <c r="M52" s="127">
        <v>16</v>
      </c>
      <c r="N52" s="173">
        <v>6.4512</v>
      </c>
      <c r="O52" s="230">
        <v>70.963200000000001</v>
      </c>
      <c r="P52" s="126"/>
      <c r="Q52" s="88">
        <f t="shared" si="4"/>
        <v>788.65920000000006</v>
      </c>
      <c r="R52" s="643">
        <v>1956</v>
      </c>
      <c r="S52" s="101">
        <f t="shared" si="5"/>
        <v>136.91999999999999</v>
      </c>
      <c r="T52" s="745" t="s">
        <v>713</v>
      </c>
      <c r="V52" s="953">
        <f>IF($V$2&lt;4,SUMIFS(РегСкидка!$C$3:$C$619,РегСкидка!$D$3:$D$619,INDEX('Доставка по областям'!$G$2:$G$90,'ЛАЙТ Рязань'!$Q$5),РегСкидка!$B$3:$B$619,T52,РегСкидка!$E$3:$E$619,$V$7)/100*IF(OR($V$3=1,$V$3=2,$V$3=3,$V$3=4),1,0),0)</f>
        <v>0</v>
      </c>
      <c r="W52" s="1227"/>
      <c r="X52" s="4"/>
      <c r="Y52" s="1234"/>
    </row>
    <row r="53" spans="1:25" ht="22.5" customHeight="1" thickBot="1" x14ac:dyDescent="0.3">
      <c r="A53" s="708"/>
      <c r="B53" s="203">
        <v>1200</v>
      </c>
      <c r="C53" s="204">
        <v>600</v>
      </c>
      <c r="D53" s="209">
        <v>80</v>
      </c>
      <c r="E53" s="254" t="s">
        <v>107</v>
      </c>
      <c r="F53" s="238" t="s">
        <v>46</v>
      </c>
      <c r="G53" s="1176">
        <f>IFERROR(H53*'Лайт+АКУСТИК DDP'!O53," ")</f>
        <v>228.09600000000003</v>
      </c>
      <c r="H53" s="124">
        <f>ROUNDUP(10000/45/'Лайт+АКУСТИК DDP'!O53,0)</f>
        <v>33</v>
      </c>
      <c r="I53" s="170">
        <v>684.28800000000012</v>
      </c>
      <c r="J53" s="125">
        <v>6</v>
      </c>
      <c r="K53" s="166">
        <v>4.32</v>
      </c>
      <c r="L53" s="126">
        <v>0.34560000000000002</v>
      </c>
      <c r="M53" s="127">
        <v>20</v>
      </c>
      <c r="N53" s="173">
        <v>6.9120000000000008</v>
      </c>
      <c r="O53" s="231">
        <v>76.032000000000011</v>
      </c>
      <c r="P53" s="126"/>
      <c r="Q53" s="88">
        <f t="shared" si="4"/>
        <v>675.99360000000001</v>
      </c>
      <c r="R53" s="643">
        <v>1956</v>
      </c>
      <c r="S53" s="101">
        <f t="shared" si="5"/>
        <v>156.47999999999999</v>
      </c>
      <c r="T53" s="745" t="s">
        <v>713</v>
      </c>
      <c r="V53" s="953">
        <f>IF($V$2&lt;4,SUMIFS(РегСкидка!$C$3:$C$619,РегСкидка!$D$3:$D$619,INDEX('Доставка по областям'!$G$2:$G$90,'ЛАЙТ Рязань'!$Q$5),РегСкидка!$B$3:$B$619,T53,РегСкидка!$E$3:$E$619,$V$7)/100*IF(OR($V$3=1,$V$3=2,$V$3=3,$V$3=4),1,0),0)</f>
        <v>0</v>
      </c>
      <c r="W53" s="1227"/>
      <c r="X53" s="4"/>
      <c r="Y53" s="1234"/>
    </row>
    <row r="54" spans="1:25" ht="22.5" customHeight="1" thickBot="1" x14ac:dyDescent="0.3">
      <c r="A54" s="708"/>
      <c r="B54" s="203">
        <v>1200</v>
      </c>
      <c r="C54" s="204">
        <v>600</v>
      </c>
      <c r="D54" s="209">
        <v>90</v>
      </c>
      <c r="E54" s="254" t="s">
        <v>108</v>
      </c>
      <c r="F54" s="238" t="s">
        <v>46</v>
      </c>
      <c r="G54" s="1176">
        <f>IFERROR(H54*'Лайт+АКУСТИК DDP'!O54," ")</f>
        <v>223.94880000000001</v>
      </c>
      <c r="H54" s="124">
        <f>ROUNDUP(10000/45/'Лайт+АКУСТИК DDP'!O54,0)</f>
        <v>36</v>
      </c>
      <c r="I54" s="170">
        <v>671.8463999999999</v>
      </c>
      <c r="J54" s="125">
        <v>6</v>
      </c>
      <c r="K54" s="166">
        <v>4.32</v>
      </c>
      <c r="L54" s="132">
        <v>0.38879999999999998</v>
      </c>
      <c r="M54" s="127">
        <v>16</v>
      </c>
      <c r="N54" s="173">
        <v>6.2207999999999997</v>
      </c>
      <c r="O54" s="231">
        <v>68.428799999999995</v>
      </c>
      <c r="P54" s="126"/>
      <c r="Q54" s="88">
        <f t="shared" si="4"/>
        <v>760.49279999999999</v>
      </c>
      <c r="R54" s="643">
        <v>1956</v>
      </c>
      <c r="S54" s="101">
        <f t="shared" si="5"/>
        <v>176.04</v>
      </c>
      <c r="T54" s="745" t="s">
        <v>713</v>
      </c>
      <c r="V54" s="953">
        <f>IF($V$2&lt;4,SUMIFS(РегСкидка!$C$3:$C$619,РегСкидка!$D$3:$D$619,INDEX('Доставка по областям'!$G$2:$G$90,'ЛАЙТ Рязань'!$Q$5),РегСкидка!$B$3:$B$619,T54,РегСкидка!$E$3:$E$619,$V$7)/100*IF(OR($V$3=1,$V$3=2,$V$3=3,$V$3=4),1,0),0)</f>
        <v>0</v>
      </c>
      <c r="W54" s="1227"/>
      <c r="X54" s="4"/>
      <c r="Y54" s="1234"/>
    </row>
    <row r="55" spans="1:25" ht="22.5" customHeight="1" thickBot="1" x14ac:dyDescent="0.3">
      <c r="A55" s="708"/>
      <c r="B55" s="203">
        <v>1200</v>
      </c>
      <c r="C55" s="204">
        <v>600</v>
      </c>
      <c r="D55" s="209">
        <v>100</v>
      </c>
      <c r="E55" s="254" t="s">
        <v>109</v>
      </c>
      <c r="F55" s="238" t="s">
        <v>239</v>
      </c>
      <c r="G55" s="1176" t="str">
        <f>IFERROR(H55*'Лайт+АКУСТИК DDP'!O55," ")</f>
        <v xml:space="preserve"> </v>
      </c>
      <c r="H55" s="124" t="s">
        <v>528</v>
      </c>
      <c r="I55" s="170" t="s">
        <v>179</v>
      </c>
      <c r="J55" s="125">
        <v>6</v>
      </c>
      <c r="K55" s="166">
        <v>4.32</v>
      </c>
      <c r="L55" s="126">
        <v>0.432</v>
      </c>
      <c r="M55" s="127">
        <v>16</v>
      </c>
      <c r="N55" s="173">
        <v>6.9119999999999999</v>
      </c>
      <c r="O55" s="220">
        <v>76.031999999999996</v>
      </c>
      <c r="P55" s="126"/>
      <c r="Q55" s="88">
        <f t="shared" si="4"/>
        <v>844.99199999999996</v>
      </c>
      <c r="R55" s="643">
        <v>1956</v>
      </c>
      <c r="S55" s="101">
        <f t="shared" si="5"/>
        <v>195.6</v>
      </c>
      <c r="T55" s="745" t="s">
        <v>713</v>
      </c>
      <c r="V55" s="953">
        <f>IF($V$2&lt;4,SUMIFS(РегСкидка!$C$3:$C$619,РегСкидка!$D$3:$D$619,INDEX('Доставка по областям'!$G$2:$G$90,'ЛАЙТ Рязань'!$Q$5),РегСкидка!$B$3:$B$619,T55,РегСкидка!$E$3:$E$619,$V$7)/100*IF(OR($V$3=1,$V$3=2,$V$3=3,$V$3=4),1,0),0)</f>
        <v>0</v>
      </c>
      <c r="W55" s="1227"/>
      <c r="X55" s="4"/>
      <c r="Y55" s="1234"/>
    </row>
    <row r="56" spans="1:25" ht="22.5" customHeight="1" thickBot="1" x14ac:dyDescent="0.3">
      <c r="A56" s="708"/>
      <c r="B56" s="203">
        <v>1200</v>
      </c>
      <c r="C56" s="204">
        <v>600</v>
      </c>
      <c r="D56" s="209">
        <v>100</v>
      </c>
      <c r="E56" s="254" t="s">
        <v>461</v>
      </c>
      <c r="F56" s="238" t="s">
        <v>239</v>
      </c>
      <c r="G56" s="1176" t="str">
        <f>IFERROR(H56*'Лайт+АКУСТИК DDP'!O56," ")</f>
        <v xml:space="preserve"> </v>
      </c>
      <c r="H56" s="124" t="s">
        <v>528</v>
      </c>
      <c r="I56" s="170"/>
      <c r="J56" s="125">
        <v>4</v>
      </c>
      <c r="K56" s="166"/>
      <c r="L56" s="126"/>
      <c r="M56" s="127"/>
      <c r="N56" s="173"/>
      <c r="O56" s="230">
        <v>76.031999999999996</v>
      </c>
      <c r="P56" s="126"/>
      <c r="Q56" s="88">
        <f t="shared" si="4"/>
        <v>0</v>
      </c>
      <c r="R56" s="643">
        <v>1956</v>
      </c>
      <c r="S56" s="101">
        <f t="shared" si="5"/>
        <v>195.6</v>
      </c>
      <c r="T56" s="745" t="s">
        <v>713</v>
      </c>
      <c r="V56" s="953">
        <f>IF($V$2&lt;4,SUMIFS(РегСкидка!$C$3:$C$619,РегСкидка!$D$3:$D$619,INDEX('Доставка по областям'!$G$2:$G$90,'ЛАЙТ Рязань'!$Q$5),РегСкидка!$B$3:$B$619,T56,РегСкидка!$E$3:$E$619,$V$7)/100*IF(OR($V$3=1,$V$3=2,$V$3=3,$V$3=4),1,0),0)</f>
        <v>0</v>
      </c>
      <c r="W56" s="1227"/>
      <c r="X56" s="4"/>
      <c r="Y56" s="1234"/>
    </row>
    <row r="57" spans="1:25" ht="22.5" customHeight="1" thickBot="1" x14ac:dyDescent="0.3">
      <c r="A57" s="708"/>
      <c r="B57" s="203">
        <v>1200</v>
      </c>
      <c r="C57" s="204">
        <v>600</v>
      </c>
      <c r="D57" s="209">
        <v>110</v>
      </c>
      <c r="E57" s="254" t="s">
        <v>696</v>
      </c>
      <c r="F57" s="238" t="s">
        <v>46</v>
      </c>
      <c r="G57" s="1176">
        <f>IFERROR(H57*'Лайт+АКУСТИК DDP'!O57," ")</f>
        <v>226.19520000000003</v>
      </c>
      <c r="H57" s="124">
        <f>ROUNDUP(10000/45/'Лайт+АКУСТИК DDP'!O57,0)</f>
        <v>34</v>
      </c>
      <c r="I57" s="170"/>
      <c r="J57" s="125">
        <v>3</v>
      </c>
      <c r="K57" s="166">
        <v>2.16</v>
      </c>
      <c r="L57" s="126">
        <v>0.23760000000000001</v>
      </c>
      <c r="M57" s="127">
        <v>28</v>
      </c>
      <c r="N57" s="173">
        <v>6.6528</v>
      </c>
      <c r="O57" s="231">
        <v>73.180800000000005</v>
      </c>
      <c r="P57" s="126"/>
      <c r="Q57" s="88">
        <f t="shared" si="4"/>
        <v>464.74560000000002</v>
      </c>
      <c r="R57" s="643">
        <v>1956</v>
      </c>
      <c r="S57" s="101">
        <f t="shared" si="5"/>
        <v>215.16</v>
      </c>
      <c r="T57" s="745" t="s">
        <v>713</v>
      </c>
      <c r="V57" s="953">
        <f>IF($V$2&lt;4,SUMIFS(РегСкидка!$C$3:$C$619,РегСкидка!$D$3:$D$619,INDEX('Доставка по областям'!$G$2:$G$90,'ЛАЙТ Рязань'!$Q$5),РегСкидка!$B$3:$B$619,T57,РегСкидка!$E$3:$E$619,$V$7)/100*IF(OR($V$3=1,$V$3=2,$V$3=3,$V$3=4),1,0),0)</f>
        <v>0</v>
      </c>
      <c r="W57" s="1227"/>
      <c r="X57" s="4"/>
      <c r="Y57" s="1234"/>
    </row>
    <row r="58" spans="1:25" ht="22.5" customHeight="1" thickBot="1" x14ac:dyDescent="0.3">
      <c r="A58" s="708"/>
      <c r="B58" s="203">
        <v>1200</v>
      </c>
      <c r="C58" s="204">
        <v>600</v>
      </c>
      <c r="D58" s="209">
        <v>120</v>
      </c>
      <c r="E58" s="254" t="s">
        <v>110</v>
      </c>
      <c r="F58" s="238" t="s">
        <v>46</v>
      </c>
      <c r="G58" s="1176">
        <f>IFERROR(H58*'Лайт+АКУСТИК DDP'!O58," ")</f>
        <v>228.096</v>
      </c>
      <c r="H58" s="124">
        <f>ROUNDUP(10000/45/'Лайт+АКУСТИК DDP'!O58,0)</f>
        <v>33</v>
      </c>
      <c r="I58" s="170">
        <v>746.49600000000009</v>
      </c>
      <c r="J58" s="125">
        <v>4</v>
      </c>
      <c r="K58" s="166">
        <v>2.8800000000000003</v>
      </c>
      <c r="L58" s="126">
        <v>0.34560000000000002</v>
      </c>
      <c r="M58" s="127">
        <v>20</v>
      </c>
      <c r="N58" s="173">
        <v>6.9120000000000008</v>
      </c>
      <c r="O58" s="230">
        <v>76.032000000000011</v>
      </c>
      <c r="P58" s="126"/>
      <c r="Q58" s="88">
        <f t="shared" si="4"/>
        <v>675.99360000000001</v>
      </c>
      <c r="R58" s="643">
        <v>1956</v>
      </c>
      <c r="S58" s="101">
        <f t="shared" si="5"/>
        <v>234.72</v>
      </c>
      <c r="T58" s="745" t="s">
        <v>713</v>
      </c>
      <c r="V58" s="953">
        <f>IF($V$2&lt;4,SUMIFS(РегСкидка!$C$3:$C$619,РегСкидка!$D$3:$D$619,INDEX('Доставка по областям'!$G$2:$G$90,'ЛАЙТ Рязань'!$Q$5),РегСкидка!$B$3:$B$619,T58,РегСкидка!$E$3:$E$619,$V$7)/100*IF(OR($V$3=1,$V$3=2,$V$3=3,$V$3=4),1,0),0)</f>
        <v>0</v>
      </c>
      <c r="W58" s="1227"/>
      <c r="X58" s="4"/>
      <c r="Y58" s="1234"/>
    </row>
    <row r="59" spans="1:25" ht="22.5" customHeight="1" thickBot="1" x14ac:dyDescent="0.3">
      <c r="A59" s="708"/>
      <c r="B59" s="203">
        <v>1200</v>
      </c>
      <c r="C59" s="204">
        <v>600</v>
      </c>
      <c r="D59" s="209">
        <v>130</v>
      </c>
      <c r="E59" s="254" t="s">
        <v>697</v>
      </c>
      <c r="F59" s="238" t="s">
        <v>46</v>
      </c>
      <c r="G59" s="1176">
        <f>IFERROR(H59*'Лайт+АКУСТИК DDP'!O59," ")</f>
        <v>222.39360000000002</v>
      </c>
      <c r="H59" s="124">
        <f>ROUNDUP(10000/45/'Лайт+АКУСТИК DDP'!O59,0)</f>
        <v>33</v>
      </c>
      <c r="I59" s="170"/>
      <c r="J59" s="125">
        <v>3</v>
      </c>
      <c r="K59" s="166">
        <v>2.16</v>
      </c>
      <c r="L59" s="126">
        <v>0.28079999999999999</v>
      </c>
      <c r="M59" s="127">
        <v>24</v>
      </c>
      <c r="N59" s="173">
        <v>6.7392000000000003</v>
      </c>
      <c r="O59" s="230">
        <v>74.131200000000007</v>
      </c>
      <c r="P59" s="126"/>
      <c r="Q59" s="88">
        <f t="shared" si="4"/>
        <v>549.24479999999994</v>
      </c>
      <c r="R59" s="643">
        <v>1956</v>
      </c>
      <c r="S59" s="101">
        <f t="shared" si="5"/>
        <v>254.28</v>
      </c>
      <c r="T59" s="745" t="s">
        <v>713</v>
      </c>
      <c r="V59" s="953">
        <f>IF($V$2&lt;4,SUMIFS(РегСкидка!$C$3:$C$619,РегСкидка!$D$3:$D$619,INDEX('Доставка по областям'!$G$2:$G$90,'ЛАЙТ Рязань'!$Q$5),РегСкидка!$B$3:$B$619,T59,РегСкидка!$E$3:$E$619,$V$7)/100*IF(OR($V$3=1,$V$3=2,$V$3=3,$V$3=4),1,0),0)</f>
        <v>0</v>
      </c>
      <c r="W59" s="1227"/>
      <c r="X59" s="4"/>
      <c r="Y59" s="1234"/>
    </row>
    <row r="60" spans="1:25" ht="22.5" customHeight="1" thickBot="1" x14ac:dyDescent="0.3">
      <c r="A60" s="708"/>
      <c r="B60" s="203">
        <v>1200</v>
      </c>
      <c r="C60" s="204">
        <v>600</v>
      </c>
      <c r="D60" s="209">
        <v>140</v>
      </c>
      <c r="E60" s="254" t="s">
        <v>111</v>
      </c>
      <c r="F60" s="238" t="s">
        <v>46</v>
      </c>
      <c r="G60" s="1176">
        <f>IFERROR(H60*'Лайт+АКУСТИК DDP'!O60," ")</f>
        <v>225.792</v>
      </c>
      <c r="H60" s="124">
        <f>ROUNDUP(10000/45/'Лайт+АКУСТИК DDP'!O60,0)</f>
        <v>35</v>
      </c>
      <c r="I60" s="170">
        <v>653.18399999999997</v>
      </c>
      <c r="J60" s="125">
        <v>3</v>
      </c>
      <c r="K60" s="166">
        <v>2.16</v>
      </c>
      <c r="L60" s="126">
        <v>0.3024</v>
      </c>
      <c r="M60" s="127">
        <v>20</v>
      </c>
      <c r="N60" s="173">
        <v>6.048</v>
      </c>
      <c r="O60" s="230">
        <v>66.528000000000006</v>
      </c>
      <c r="P60" s="126"/>
      <c r="Q60" s="88">
        <f t="shared" si="4"/>
        <v>591.49440000000004</v>
      </c>
      <c r="R60" s="643">
        <v>1956</v>
      </c>
      <c r="S60" s="101">
        <f t="shared" si="5"/>
        <v>273.83999999999997</v>
      </c>
      <c r="T60" s="745" t="s">
        <v>713</v>
      </c>
      <c r="V60" s="953">
        <f>IF($V$2&lt;4,SUMIFS(РегСкидка!$C$3:$C$619,РегСкидка!$D$3:$D$619,INDEX('Доставка по областям'!$G$2:$G$90,'ЛАЙТ Рязань'!$Q$5),РегСкидка!$B$3:$B$619,T60,РегСкидка!$E$3:$E$619,$V$7)/100*IF(OR($V$3=1,$V$3=2,$V$3=3,$V$3=4),1,0),0)</f>
        <v>0</v>
      </c>
      <c r="W60" s="1227"/>
      <c r="X60" s="4"/>
      <c r="Y60" s="1234"/>
    </row>
    <row r="61" spans="1:25" ht="22.5" customHeight="1" thickBot="1" x14ac:dyDescent="0.3">
      <c r="A61" s="708"/>
      <c r="B61" s="203">
        <v>1200</v>
      </c>
      <c r="C61" s="204">
        <v>600</v>
      </c>
      <c r="D61" s="209">
        <v>150</v>
      </c>
      <c r="E61" s="254" t="s">
        <v>112</v>
      </c>
      <c r="F61" s="238" t="s">
        <v>46</v>
      </c>
      <c r="G61" s="1176">
        <f>IFERROR(H61*'Лайт+АКУСТИК DDP'!O61," ")</f>
        <v>228.096</v>
      </c>
      <c r="H61" s="124">
        <f>ROUNDUP(10000/45/'Лайт+АКУСТИК DDP'!O61,0)</f>
        <v>33</v>
      </c>
      <c r="I61" s="170">
        <v>746.49599999999998</v>
      </c>
      <c r="J61" s="125">
        <v>4</v>
      </c>
      <c r="K61" s="166">
        <v>2.8800000000000003</v>
      </c>
      <c r="L61" s="126">
        <v>0.432</v>
      </c>
      <c r="M61" s="127">
        <v>16</v>
      </c>
      <c r="N61" s="173">
        <v>6.9119999999999999</v>
      </c>
      <c r="O61" s="231">
        <v>76.031999999999996</v>
      </c>
      <c r="P61" s="126"/>
      <c r="Q61" s="88">
        <f t="shared" si="4"/>
        <v>844.99199999999996</v>
      </c>
      <c r="R61" s="643">
        <v>1956</v>
      </c>
      <c r="S61" s="101">
        <f t="shared" si="5"/>
        <v>293.39999999999998</v>
      </c>
      <c r="T61" s="745" t="s">
        <v>713</v>
      </c>
      <c r="V61" s="953">
        <f>IF($V$2&lt;4,SUMIFS(РегСкидка!$C$3:$C$619,РегСкидка!$D$3:$D$619,INDEX('Доставка по областям'!$G$2:$G$90,'ЛАЙТ Рязань'!$Q$5),РегСкидка!$B$3:$B$619,T61,РегСкидка!$E$3:$E$619,$V$7)/100*IF(OR($V$3=1,$V$3=2,$V$3=3,$V$3=4),1,0),0)</f>
        <v>0</v>
      </c>
      <c r="W61" s="1227"/>
      <c r="X61" s="4"/>
      <c r="Y61" s="1234"/>
    </row>
    <row r="62" spans="1:25" ht="22.5" customHeight="1" thickBot="1" x14ac:dyDescent="0.3">
      <c r="A62" s="708"/>
      <c r="B62" s="203">
        <v>1200</v>
      </c>
      <c r="C62" s="204">
        <v>600</v>
      </c>
      <c r="D62" s="209">
        <v>160</v>
      </c>
      <c r="E62" s="254" t="s">
        <v>113</v>
      </c>
      <c r="F62" s="238" t="s">
        <v>46</v>
      </c>
      <c r="G62" s="1176">
        <f>IFERROR(H62*'Лайт+АКУСТИК DDP'!O62," ")</f>
        <v>228.09600000000003</v>
      </c>
      <c r="H62" s="124">
        <f>ROUNDUP(10000/45/'Лайт+АКУСТИК DDP'!O62,0)</f>
        <v>33</v>
      </c>
      <c r="I62" s="170">
        <v>746.49600000000009</v>
      </c>
      <c r="J62" s="125">
        <v>3</v>
      </c>
      <c r="K62" s="166">
        <v>2.16</v>
      </c>
      <c r="L62" s="126">
        <v>0.34560000000000002</v>
      </c>
      <c r="M62" s="127">
        <v>20</v>
      </c>
      <c r="N62" s="173">
        <v>6.9120000000000008</v>
      </c>
      <c r="O62" s="230">
        <v>76.032000000000011</v>
      </c>
      <c r="P62" s="126"/>
      <c r="Q62" s="88">
        <f t="shared" si="4"/>
        <v>675.99360000000001</v>
      </c>
      <c r="R62" s="643">
        <v>1956</v>
      </c>
      <c r="S62" s="101">
        <f t="shared" si="5"/>
        <v>312.95999999999998</v>
      </c>
      <c r="T62" s="745" t="s">
        <v>713</v>
      </c>
      <c r="V62" s="953">
        <f>IF($V$2&lt;4,SUMIFS(РегСкидка!$C$3:$C$619,РегСкидка!$D$3:$D$619,INDEX('Доставка по областям'!$G$2:$G$90,'ЛАЙТ Рязань'!$Q$5),РегСкидка!$B$3:$B$619,T62,РегСкидка!$E$3:$E$619,$V$7)/100*IF(OR($V$3=1,$V$3=2,$V$3=3,$V$3=4),1,0),0)</f>
        <v>0</v>
      </c>
      <c r="W62" s="1227"/>
      <c r="X62" s="4"/>
      <c r="Y62" s="1234"/>
    </row>
    <row r="63" spans="1:25" ht="22.5" customHeight="1" thickBot="1" x14ac:dyDescent="0.3">
      <c r="A63" s="708"/>
      <c r="B63" s="203">
        <v>1200</v>
      </c>
      <c r="C63" s="204">
        <v>600</v>
      </c>
      <c r="D63" s="209">
        <v>170</v>
      </c>
      <c r="E63" s="254" t="s">
        <v>114</v>
      </c>
      <c r="F63" s="238" t="s">
        <v>46</v>
      </c>
      <c r="G63" s="1176">
        <f>IFERROR(H63*'Лайт+АКУСТИК DDP'!O63," ")</f>
        <v>223.25760000000002</v>
      </c>
      <c r="H63" s="124">
        <f>ROUNDUP(10000/45/'Лайт+АКУСТИК DDP'!O63,0)</f>
        <v>38</v>
      </c>
      <c r="I63" s="170">
        <v>634.52160000000003</v>
      </c>
      <c r="J63" s="125">
        <v>3</v>
      </c>
      <c r="K63" s="166">
        <v>2.16</v>
      </c>
      <c r="L63" s="126">
        <v>0.36720000000000003</v>
      </c>
      <c r="M63" s="127">
        <v>16</v>
      </c>
      <c r="N63" s="173">
        <v>5.8752000000000004</v>
      </c>
      <c r="O63" s="230">
        <v>64.627200000000002</v>
      </c>
      <c r="P63" s="126"/>
      <c r="Q63" s="88">
        <f t="shared" si="4"/>
        <v>718.2432</v>
      </c>
      <c r="R63" s="643">
        <v>1956</v>
      </c>
      <c r="S63" s="101">
        <f t="shared" si="5"/>
        <v>332.52</v>
      </c>
      <c r="T63" s="745" t="s">
        <v>713</v>
      </c>
      <c r="V63" s="953">
        <f>IF($V$2&lt;4,SUMIFS(РегСкидка!$C$3:$C$619,РегСкидка!$D$3:$D$619,INDEX('Доставка по областям'!$G$2:$G$90,'ЛАЙТ Рязань'!$Q$5),РегСкидка!$B$3:$B$619,T63,РегСкидка!$E$3:$E$619,$V$7)/100*IF(OR($V$3=1,$V$3=2,$V$3=3,$V$3=4),1,0),0)</f>
        <v>0</v>
      </c>
      <c r="W63" s="1227"/>
      <c r="X63" s="4"/>
      <c r="Y63" s="1234"/>
    </row>
    <row r="64" spans="1:25" ht="22.5" customHeight="1" thickBot="1" x14ac:dyDescent="0.3">
      <c r="A64" s="708"/>
      <c r="B64" s="203">
        <v>1200</v>
      </c>
      <c r="C64" s="204">
        <v>600</v>
      </c>
      <c r="D64" s="209">
        <v>180</v>
      </c>
      <c r="E64" s="254" t="s">
        <v>115</v>
      </c>
      <c r="F64" s="238" t="s">
        <v>46</v>
      </c>
      <c r="G64" s="1176">
        <f>IFERROR(H64*'Лайт+АКУСТИК DDP'!O64," ")</f>
        <v>223.94880000000001</v>
      </c>
      <c r="H64" s="124">
        <f>ROUNDUP(10000/45/'Лайт+АКУСТИК DDP'!O64,0)</f>
        <v>36</v>
      </c>
      <c r="I64" s="170">
        <v>671.8463999999999</v>
      </c>
      <c r="J64" s="125">
        <v>3</v>
      </c>
      <c r="K64" s="166">
        <v>2.16</v>
      </c>
      <c r="L64" s="126">
        <v>0.38879999999999998</v>
      </c>
      <c r="M64" s="127">
        <v>16</v>
      </c>
      <c r="N64" s="173">
        <v>6.2207999999999997</v>
      </c>
      <c r="O64" s="231">
        <v>68.428799999999995</v>
      </c>
      <c r="P64" s="126"/>
      <c r="Q64" s="88">
        <f t="shared" si="4"/>
        <v>760.49279999999999</v>
      </c>
      <c r="R64" s="643">
        <v>1956</v>
      </c>
      <c r="S64" s="101">
        <f t="shared" si="5"/>
        <v>352.08</v>
      </c>
      <c r="T64" s="745" t="s">
        <v>713</v>
      </c>
      <c r="V64" s="953">
        <f>IF($V$2&lt;4,SUMIFS(РегСкидка!$C$3:$C$619,РегСкидка!$D$3:$D$619,INDEX('Доставка по областям'!$G$2:$G$90,'ЛАЙТ Рязань'!$Q$5),РегСкидка!$B$3:$B$619,T64,РегСкидка!$E$3:$E$619,$V$7)/100*IF(OR($V$3=1,$V$3=2,$V$3=3,$V$3=4),1,0),0)</f>
        <v>0</v>
      </c>
      <c r="W64" s="1227"/>
      <c r="X64" s="4"/>
      <c r="Y64" s="1234"/>
    </row>
    <row r="65" spans="1:26" ht="22.5" customHeight="1" thickBot="1" x14ac:dyDescent="0.3">
      <c r="A65" s="708"/>
      <c r="B65" s="203">
        <v>1200</v>
      </c>
      <c r="C65" s="204">
        <v>600</v>
      </c>
      <c r="D65" s="209">
        <v>190</v>
      </c>
      <c r="E65" s="254" t="s">
        <v>116</v>
      </c>
      <c r="F65" s="238" t="s">
        <v>46</v>
      </c>
      <c r="G65" s="1176">
        <f>IFERROR(H65*'Лайт+АКУСТИК DDP'!O65," ")</f>
        <v>223.25760000000002</v>
      </c>
      <c r="H65" s="124">
        <f>ROUNDUP(10000/45/'Лайт+АКУСТИК DDP'!O65,0)</f>
        <v>34</v>
      </c>
      <c r="I65" s="170">
        <v>709.1712</v>
      </c>
      <c r="J65" s="125">
        <v>3</v>
      </c>
      <c r="K65" s="166">
        <v>2.16</v>
      </c>
      <c r="L65" s="126">
        <v>0.41039999999999999</v>
      </c>
      <c r="M65" s="127">
        <v>16</v>
      </c>
      <c r="N65" s="173">
        <v>6.5663999999999998</v>
      </c>
      <c r="O65" s="231">
        <v>72.230400000000003</v>
      </c>
      <c r="P65" s="126"/>
      <c r="Q65" s="88">
        <f t="shared" si="4"/>
        <v>802.74239999999998</v>
      </c>
      <c r="R65" s="643">
        <v>1956</v>
      </c>
      <c r="S65" s="101">
        <f t="shared" si="5"/>
        <v>371.64</v>
      </c>
      <c r="T65" s="745" t="s">
        <v>713</v>
      </c>
      <c r="V65" s="953">
        <f>IF($V$2&lt;4,SUMIFS(РегСкидка!$C$3:$C$619,РегСкидка!$D$3:$D$619,INDEX('Доставка по областям'!$G$2:$G$90,'ЛАЙТ Рязань'!$Q$5),РегСкидка!$B$3:$B$619,T65,РегСкидка!$E$3:$E$619,$V$7)/100*IF(OR($V$3=1,$V$3=2,$V$3=3,$V$3=4),1,0),0)</f>
        <v>0</v>
      </c>
      <c r="W65" s="1227"/>
      <c r="X65" s="4"/>
      <c r="Y65" s="1234"/>
    </row>
    <row r="66" spans="1:26" ht="22.5" customHeight="1" thickBot="1" x14ac:dyDescent="0.3">
      <c r="A66" s="890"/>
      <c r="B66" s="240">
        <v>1200</v>
      </c>
      <c r="C66" s="241">
        <v>600</v>
      </c>
      <c r="D66" s="242">
        <v>200</v>
      </c>
      <c r="E66" s="257" t="s">
        <v>117</v>
      </c>
      <c r="F66" s="238" t="s">
        <v>46</v>
      </c>
      <c r="G66" s="613">
        <f>IFERROR(H66*'Лайт+АКУСТИК DDP'!O66," ")</f>
        <v>228.096</v>
      </c>
      <c r="H66" s="258">
        <f>ROUNDUP(10000/45/'Лайт+АКУСТИК DDP'!O66,0)</f>
        <v>33</v>
      </c>
      <c r="I66" s="262">
        <v>746.49599999999998</v>
      </c>
      <c r="J66" s="128">
        <v>3</v>
      </c>
      <c r="K66" s="167">
        <v>2.16</v>
      </c>
      <c r="L66" s="129">
        <v>0.432</v>
      </c>
      <c r="M66" s="130">
        <v>16</v>
      </c>
      <c r="N66" s="174">
        <v>6.9119999999999999</v>
      </c>
      <c r="O66" s="260">
        <v>76.031999999999996</v>
      </c>
      <c r="P66" s="129"/>
      <c r="Q66" s="89">
        <f t="shared" si="4"/>
        <v>844.99199999999996</v>
      </c>
      <c r="R66" s="644">
        <v>1956</v>
      </c>
      <c r="S66" s="102">
        <f t="shared" si="5"/>
        <v>391.2</v>
      </c>
      <c r="T66" s="745" t="s">
        <v>713</v>
      </c>
      <c r="V66" s="953">
        <f>IF($V$2&lt;4,SUMIFS(РегСкидка!$C$3:$C$619,РегСкидка!$D$3:$D$619,INDEX('Доставка по областям'!$G$2:$G$90,'ЛАЙТ Рязань'!$Q$5),РегСкидка!$B$3:$B$619,T66,РегСкидка!$E$3:$E$619,$V$7)/100*IF(OR($V$3=1,$V$3=2,$V$3=3,$V$3=4),1,0),0)</f>
        <v>0</v>
      </c>
      <c r="W66" s="1227"/>
      <c r="X66" s="4"/>
      <c r="Y66" s="1234"/>
    </row>
    <row r="67" spans="1:26" ht="22.5" customHeight="1" thickBot="1" x14ac:dyDescent="0.3">
      <c r="A67" s="889" t="s">
        <v>446</v>
      </c>
      <c r="B67" s="252">
        <v>1200</v>
      </c>
      <c r="C67" s="250">
        <v>600</v>
      </c>
      <c r="D67" s="251">
        <v>50</v>
      </c>
      <c r="E67" s="891" t="s">
        <v>447</v>
      </c>
      <c r="F67" s="238" t="s">
        <v>239</v>
      </c>
      <c r="G67" s="1177" t="str">
        <f>IFERROR(H67*'Лайт+АКУСТИК DDP'!O67," ")</f>
        <v xml:space="preserve"> </v>
      </c>
      <c r="H67" s="259" t="s">
        <v>528</v>
      </c>
      <c r="I67" s="224"/>
      <c r="J67" s="131">
        <v>12</v>
      </c>
      <c r="K67" s="168">
        <v>8.64</v>
      </c>
      <c r="L67" s="132">
        <v>0.432</v>
      </c>
      <c r="M67" s="133">
        <v>16</v>
      </c>
      <c r="N67" s="172">
        <v>6.9119999999999999</v>
      </c>
      <c r="O67" s="220">
        <v>76.031999999999996</v>
      </c>
      <c r="P67" s="132">
        <v>103.68</v>
      </c>
      <c r="Q67" s="827">
        <f>L67*R67</f>
        <v>998.78399999999999</v>
      </c>
      <c r="R67" s="1163">
        <v>2312</v>
      </c>
      <c r="S67" s="828">
        <f>R67*D67/1000</f>
        <v>115.6</v>
      </c>
      <c r="T67" s="745" t="s">
        <v>749</v>
      </c>
      <c r="V67" s="953">
        <f>IF($V$2&lt;4,SUMIFS(РегСкидка!$C$3:$C$619,РегСкидка!$D$3:$D$619,INDEX('Доставка по областям'!$G$2:$G$90,'ЛАЙТ Рязань'!$Q$5),РегСкидка!$B$3:$B$619,T67,РегСкидка!$E$3:$E$619,$V$7)/100*IF(OR($V$3=1,$V$3=2,$V$3=3,$V$3=4),1,0),0)</f>
        <v>0</v>
      </c>
      <c r="W67" s="745"/>
      <c r="X67" s="4"/>
      <c r="Y67" s="1234"/>
    </row>
    <row r="68" spans="1:26" ht="22.5" customHeight="1" thickBot="1" x14ac:dyDescent="0.3">
      <c r="A68" s="701"/>
      <c r="B68" s="203">
        <v>1200</v>
      </c>
      <c r="C68" s="204">
        <v>600</v>
      </c>
      <c r="D68" s="209">
        <v>50</v>
      </c>
      <c r="E68" s="254" t="s">
        <v>611</v>
      </c>
      <c r="F68" s="238" t="s">
        <v>239</v>
      </c>
      <c r="G68" s="1176" t="str">
        <f>IFERROR(H68*'Лайт+АКУСТИК DDP'!O68," ")</f>
        <v xml:space="preserve"> </v>
      </c>
      <c r="H68" s="124" t="s">
        <v>528</v>
      </c>
      <c r="I68" s="170"/>
      <c r="J68" s="125">
        <v>6</v>
      </c>
      <c r="K68" s="166">
        <v>4.32</v>
      </c>
      <c r="L68" s="126">
        <v>0.216</v>
      </c>
      <c r="M68" s="127">
        <v>32</v>
      </c>
      <c r="N68" s="173">
        <v>6.9119999999999999</v>
      </c>
      <c r="O68" s="231">
        <v>76.031999999999996</v>
      </c>
      <c r="P68" s="126">
        <v>96.768000000000001</v>
      </c>
      <c r="Q68" s="827" t="e">
        <f>L68*R68</f>
        <v>#VALUE!</v>
      </c>
      <c r="R68" s="259" t="s">
        <v>528</v>
      </c>
      <c r="S68" s="828" t="e">
        <f>R68*D68/1000</f>
        <v>#VALUE!</v>
      </c>
      <c r="T68" s="745" t="s">
        <v>749</v>
      </c>
      <c r="V68" s="953">
        <f>IF($V$2&lt;4,SUMIFS(РегСкидка!$C$3:$C$619,РегСкидка!$D$3:$D$619,INDEX('Доставка по областям'!$G$2:$G$90,'ЛАЙТ Рязань'!$Q$5),РегСкидка!$B$3:$B$619,T68,РегСкидка!$E$3:$E$619,$V$7)/100*IF(OR($V$3=1,$V$3=2,$V$3=3,$V$3=4),1,0),0)</f>
        <v>0</v>
      </c>
      <c r="W68" s="745"/>
      <c r="X68" s="4"/>
      <c r="Y68" s="1234"/>
    </row>
    <row r="69" spans="1:26" ht="22.5" customHeight="1" thickBot="1" x14ac:dyDescent="0.3">
      <c r="A69" s="701"/>
      <c r="B69" s="203">
        <v>1200</v>
      </c>
      <c r="C69" s="204">
        <v>600</v>
      </c>
      <c r="D69" s="209">
        <v>50</v>
      </c>
      <c r="E69" s="254" t="s">
        <v>706</v>
      </c>
      <c r="F69" s="238" t="s">
        <v>239</v>
      </c>
      <c r="G69" s="1176" t="str">
        <f>IFERROR(H69*'Лайт+АКУСТИК DDP'!O69," ")</f>
        <v xml:space="preserve"> </v>
      </c>
      <c r="H69" s="124" t="s">
        <v>528</v>
      </c>
      <c r="I69" s="170"/>
      <c r="J69" s="125">
        <v>8</v>
      </c>
      <c r="K69" s="166">
        <f>B69*C69*J69/1000000</f>
        <v>5.76</v>
      </c>
      <c r="L69" s="126">
        <f>D69*K69/1000</f>
        <v>0.28799999999999998</v>
      </c>
      <c r="M69" s="127">
        <v>24</v>
      </c>
      <c r="N69" s="173">
        <f>L69*M69</f>
        <v>6.911999999999999</v>
      </c>
      <c r="O69" s="231">
        <f>N69*11</f>
        <v>76.031999999999982</v>
      </c>
      <c r="P69" s="126">
        <v>96.768000000000001</v>
      </c>
      <c r="Q69" s="827">
        <f>L69*R69</f>
        <v>665.85599999999999</v>
      </c>
      <c r="R69" s="259">
        <v>2312</v>
      </c>
      <c r="S69" s="828">
        <f>R69*D69/1000</f>
        <v>115.6</v>
      </c>
      <c r="T69" s="745" t="s">
        <v>749</v>
      </c>
      <c r="V69" s="953">
        <f>IF($V$2&lt;4,SUMIFS(РегСкидка!$C$3:$C$619,РегСкидка!$D$3:$D$619,INDEX('Доставка по областям'!$G$2:$G$90,'ЛАЙТ Рязань'!$Q$5),РегСкидка!$B$3:$B$619,T69,РегСкидка!$E$3:$E$619,$V$7)/100*IF(OR($V$3=1,$V$3=2,$V$3=3,$V$3=4),1,0),0)</f>
        <v>0</v>
      </c>
      <c r="W69" s="745"/>
      <c r="X69" s="4"/>
      <c r="Y69" s="1234"/>
    </row>
    <row r="70" spans="1:26" ht="22.5" customHeight="1" thickBot="1" x14ac:dyDescent="0.3">
      <c r="A70" s="893"/>
      <c r="B70" s="240">
        <v>1200</v>
      </c>
      <c r="C70" s="241">
        <v>600</v>
      </c>
      <c r="D70" s="242">
        <v>100</v>
      </c>
      <c r="E70" s="894" t="s">
        <v>448</v>
      </c>
      <c r="F70" s="295" t="s">
        <v>46</v>
      </c>
      <c r="G70" s="613">
        <f>IFERROR(H70*'Лайт+АКУСТИК DDP'!O70," ")</f>
        <v>255.744</v>
      </c>
      <c r="H70" s="258">
        <f>ROUNDUP(10000/40/'Лайт+АКУСТИК DDP'!O70,0)</f>
        <v>37</v>
      </c>
      <c r="I70" s="262"/>
      <c r="J70" s="128">
        <v>6</v>
      </c>
      <c r="K70" s="167">
        <v>8.64</v>
      </c>
      <c r="L70" s="129">
        <v>0.432</v>
      </c>
      <c r="M70" s="301">
        <v>16</v>
      </c>
      <c r="N70" s="895">
        <v>6.9119999999999999</v>
      </c>
      <c r="O70" s="260">
        <v>76.031999999999996</v>
      </c>
      <c r="P70" s="129">
        <v>96.768000000000001</v>
      </c>
      <c r="Q70" s="303">
        <f>L70*R70</f>
        <v>998.78399999999999</v>
      </c>
      <c r="R70" s="896">
        <v>2312</v>
      </c>
      <c r="S70" s="832">
        <f>R70*D70/1000</f>
        <v>231.2</v>
      </c>
      <c r="T70" s="745" t="s">
        <v>749</v>
      </c>
      <c r="V70" s="953">
        <f>IF($V$2&lt;4,SUMIFS(РегСкидка!$C$3:$C$619,РегСкидка!$D$3:$D$619,INDEX('Доставка по областям'!$G$2:$G$90,'ЛАЙТ Рязань'!$Q$5),РегСкидка!$B$3:$B$619,T70,РегСкидка!$E$3:$E$619,$V$7)/100*IF(OR($V$3=1,$V$3=2,$V$3=3,$V$3=4),1,0),0)</f>
        <v>0</v>
      </c>
      <c r="W70" s="745"/>
      <c r="X70" s="4"/>
      <c r="Y70" s="1234"/>
    </row>
    <row r="71" spans="1:26" ht="20.100000000000001" customHeight="1" x14ac:dyDescent="0.25">
      <c r="A71" s="18"/>
      <c r="B71" s="134"/>
      <c r="C71" s="134"/>
      <c r="D71" s="134"/>
      <c r="E71" s="134"/>
      <c r="F71" s="134"/>
      <c r="G71" s="134"/>
      <c r="H71" s="134"/>
      <c r="I71" s="625"/>
      <c r="J71" s="135"/>
      <c r="K71" s="134"/>
      <c r="L71" s="136"/>
      <c r="M71" s="135"/>
      <c r="N71" s="137"/>
      <c r="O71" s="1148"/>
      <c r="P71" s="261"/>
      <c r="Q71" s="448"/>
      <c r="R71" s="993">
        <f>INDEX('Доставка по областям'!$C$111:$E$197,'ЛАЙТ Рязань'!$Q$5,1)</f>
        <v>40</v>
      </c>
      <c r="S71" s="448"/>
    </row>
    <row r="72" spans="1:26" ht="18.75" customHeight="1" x14ac:dyDescent="0.25">
      <c r="A72" s="1" t="s">
        <v>7</v>
      </c>
      <c r="B72" s="91"/>
      <c r="C72" s="91"/>
      <c r="D72" s="91"/>
      <c r="E72" s="91"/>
      <c r="F72" s="91"/>
      <c r="G72" s="91"/>
      <c r="H72" s="91"/>
      <c r="I72" s="91"/>
      <c r="J72" s="92"/>
      <c r="K72" s="91"/>
      <c r="L72" s="94"/>
      <c r="M72" s="92"/>
      <c r="N72" s="93"/>
      <c r="O72" s="1243" t="s">
        <v>21</v>
      </c>
      <c r="P72" s="1243"/>
      <c r="Q72" s="1243"/>
      <c r="R72" s="1243"/>
      <c r="S72" s="1243"/>
    </row>
    <row r="73" spans="1:26" s="32" customFormat="1" ht="20.100000000000001" customHeight="1" x14ac:dyDescent="0.25">
      <c r="A73" s="471" t="s">
        <v>342</v>
      </c>
      <c r="J73" s="33"/>
      <c r="L73" s="34"/>
      <c r="M73" s="33"/>
      <c r="N73" s="59"/>
      <c r="O73" s="1244" t="s">
        <v>40</v>
      </c>
      <c r="P73" s="1244"/>
      <c r="Q73" s="1244"/>
      <c r="R73" s="1244"/>
      <c r="S73" s="1244"/>
      <c r="T73" s="745"/>
      <c r="U73" s="953"/>
      <c r="V73" s="745"/>
      <c r="Z73" s="84"/>
    </row>
    <row r="74" spans="1:26" ht="20.100000000000001" customHeight="1" x14ac:dyDescent="0.25">
      <c r="A74" s="26" t="s">
        <v>23</v>
      </c>
      <c r="O74" s="1244" t="s">
        <v>39</v>
      </c>
      <c r="P74" s="1244"/>
      <c r="Q74" s="1244"/>
      <c r="R74" s="1244"/>
      <c r="S74" s="1244"/>
    </row>
    <row r="75" spans="1:26" ht="20.100000000000001" customHeight="1" x14ac:dyDescent="0.25">
      <c r="A75" s="26" t="s">
        <v>24</v>
      </c>
      <c r="O75" s="1245" t="s">
        <v>37</v>
      </c>
      <c r="P75" s="1245"/>
      <c r="Q75" s="1245"/>
      <c r="R75" s="1245"/>
      <c r="S75" s="1245"/>
    </row>
    <row r="76" spans="1:26" ht="20.100000000000001" customHeight="1" x14ac:dyDescent="0.25">
      <c r="A76" s="26" t="s">
        <v>52</v>
      </c>
      <c r="Q76" s="1245" t="s">
        <v>38</v>
      </c>
      <c r="R76" s="1245"/>
      <c r="S76" s="1245"/>
      <c r="T76" s="1029"/>
      <c r="W76" s="74"/>
    </row>
    <row r="77" spans="1:26" ht="20.100000000000001" customHeight="1" x14ac:dyDescent="0.25">
      <c r="A77" s="30" t="s">
        <v>54</v>
      </c>
      <c r="G77" s="4"/>
      <c r="I77" s="5"/>
      <c r="K77" s="56"/>
    </row>
    <row r="78" spans="1:26" ht="20.100000000000001" customHeight="1" x14ac:dyDescent="0.25">
      <c r="A78" s="30" t="s">
        <v>542</v>
      </c>
      <c r="G78" s="4"/>
      <c r="I78" s="5"/>
      <c r="K78" s="56"/>
    </row>
    <row r="79" spans="1:26" ht="20.100000000000001" customHeight="1" x14ac:dyDescent="0.25">
      <c r="A79" s="30" t="s">
        <v>559</v>
      </c>
      <c r="G79" s="4"/>
      <c r="I79" s="5"/>
      <c r="K79" s="56"/>
    </row>
    <row r="80" spans="1:26" ht="20.100000000000001" customHeight="1" x14ac:dyDescent="0.25">
      <c r="A80" s="30"/>
      <c r="G80" s="4"/>
      <c r="I80" s="5"/>
      <c r="K80" s="56"/>
    </row>
    <row r="81" spans="1:19" ht="20.100000000000001" customHeight="1" x14ac:dyDescent="0.25">
      <c r="A81" s="31"/>
    </row>
    <row r="82" spans="1:19" ht="20.100000000000001" customHeight="1" x14ac:dyDescent="0.25"/>
    <row r="83" spans="1:19" ht="19.5" customHeight="1" x14ac:dyDescent="0.25">
      <c r="A83" s="2"/>
    </row>
    <row r="84" spans="1:19" ht="20.100000000000001" customHeight="1" x14ac:dyDescent="0.25">
      <c r="A84" s="2"/>
    </row>
    <row r="85" spans="1:19" ht="20.100000000000001" customHeight="1" x14ac:dyDescent="0.25">
      <c r="A85" s="2"/>
      <c r="C85" s="19"/>
      <c r="D85" s="20"/>
      <c r="E85" s="20"/>
      <c r="F85" s="20"/>
      <c r="G85" s="20"/>
      <c r="H85" s="20"/>
      <c r="I85" s="20"/>
      <c r="J85" s="21"/>
      <c r="K85" s="20"/>
      <c r="L85" s="22"/>
      <c r="M85" s="69"/>
      <c r="N85" s="60"/>
      <c r="O85" s="20"/>
      <c r="P85" s="22"/>
      <c r="Q85" s="22"/>
      <c r="R85" s="22"/>
      <c r="S85" s="22"/>
    </row>
    <row r="86" spans="1:19" ht="20.100000000000001" customHeight="1" x14ac:dyDescent="0.25">
      <c r="C86" s="23"/>
      <c r="D86" s="20"/>
      <c r="E86" s="20"/>
      <c r="F86" s="20"/>
      <c r="G86" s="20"/>
      <c r="H86" s="20"/>
      <c r="I86" s="20"/>
      <c r="J86" s="21"/>
      <c r="K86" s="20"/>
      <c r="L86" s="24"/>
      <c r="M86" s="70"/>
      <c r="N86" s="60"/>
      <c r="O86" s="20"/>
      <c r="P86" s="24"/>
      <c r="Q86" s="24"/>
      <c r="R86" s="24"/>
      <c r="S86" s="24"/>
    </row>
    <row r="87" spans="1:19" ht="20.100000000000001" customHeight="1" x14ac:dyDescent="0.25">
      <c r="C87" s="23"/>
      <c r="D87" s="20"/>
      <c r="E87" s="20"/>
      <c r="F87" s="20"/>
      <c r="G87" s="20"/>
      <c r="H87" s="20"/>
      <c r="I87" s="20"/>
      <c r="J87" s="21"/>
      <c r="K87" s="20"/>
      <c r="L87" s="24"/>
      <c r="M87" s="70"/>
      <c r="N87" s="60"/>
      <c r="O87" s="20"/>
      <c r="P87" s="24"/>
      <c r="Q87" s="24"/>
      <c r="R87" s="24"/>
      <c r="S87" s="24"/>
    </row>
    <row r="89" spans="1:19" x14ac:dyDescent="0.25">
      <c r="B89" s="25"/>
    </row>
  </sheetData>
  <mergeCells count="21">
    <mergeCell ref="A16:A31"/>
    <mergeCell ref="F6:F7"/>
    <mergeCell ref="A13:A15"/>
    <mergeCell ref="O6:P6"/>
    <mergeCell ref="I6:I7"/>
    <mergeCell ref="G6:G7"/>
    <mergeCell ref="E6:E7"/>
    <mergeCell ref="J6:L6"/>
    <mergeCell ref="M6:N6"/>
    <mergeCell ref="A4:S4"/>
    <mergeCell ref="A6:A7"/>
    <mergeCell ref="B6:B7"/>
    <mergeCell ref="C6:C7"/>
    <mergeCell ref="D6:D7"/>
    <mergeCell ref="Q6:S6"/>
    <mergeCell ref="A33:A47"/>
    <mergeCell ref="Q76:S76"/>
    <mergeCell ref="O75:S75"/>
    <mergeCell ref="O72:S72"/>
    <mergeCell ref="O73:S73"/>
    <mergeCell ref="O74:S74"/>
  </mergeCells>
  <phoneticPr fontId="65" type="noConversion"/>
  <hyperlinks>
    <hyperlink ref="O75" r:id="rId1"/>
    <hyperlink ref="Q76" r:id="rId2"/>
  </hyperlinks>
  <printOptions horizontalCentered="1"/>
  <pageMargins left="0.19685039370078741" right="0.19685039370078741" top="0.39370078740157483" bottom="0" header="0" footer="0"/>
  <pageSetup paperSize="9" scale="43" orientation="portrait" verticalDpi="1" r:id="rId3"/>
  <headerFooter alignWithMargins="0"/>
  <drawing r:id="rId4"/>
  <legacyDrawing r:id="rId5"/>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6">
    <tabColor rgb="FFFF0000"/>
  </sheetPr>
  <dimension ref="A1:AM115"/>
  <sheetViews>
    <sheetView showGridLines="0" view="pageBreakPreview" zoomScaleNormal="100" zoomScaleSheetLayoutView="100" workbookViewId="0">
      <pane xSplit="1" topLeftCell="B1" activePane="topRight" state="frozen"/>
      <selection pane="topRight" activeCell="A83" sqref="A1:XFD1048576"/>
    </sheetView>
  </sheetViews>
  <sheetFormatPr defaultRowHeight="30" customHeight="1" x14ac:dyDescent="0.2"/>
  <cols>
    <col min="1" max="1" width="31.28515625" style="334" customWidth="1"/>
    <col min="2" max="2" width="6.5703125" style="334" customWidth="1"/>
    <col min="3" max="3" width="5" style="330" customWidth="1"/>
    <col min="4" max="4" width="4.28515625" style="331" customWidth="1"/>
    <col min="5" max="5" width="3.5703125" style="331" customWidth="1"/>
    <col min="6" max="6" width="8" style="331" customWidth="1"/>
    <col min="7" max="7" width="7.42578125" style="331" hidden="1" customWidth="1"/>
    <col min="8" max="8" width="5" style="331" customWidth="1"/>
    <col min="9" max="9" width="4.7109375" style="331" customWidth="1"/>
    <col min="10" max="10" width="5.42578125" style="332" customWidth="1"/>
    <col min="11" max="11" width="5.7109375" style="332" customWidth="1"/>
    <col min="12" max="12" width="5.85546875" style="332" customWidth="1"/>
    <col min="13" max="14" width="6" style="332" customWidth="1"/>
    <col min="15" max="15" width="9.7109375" style="332" customWidth="1"/>
    <col min="16" max="16" width="10.28515625" style="332" customWidth="1"/>
    <col min="17" max="17" width="6.85546875" style="332" customWidth="1"/>
    <col min="24" max="24" width="15.7109375" style="332" customWidth="1"/>
    <col min="25" max="25" width="12.140625" style="332" customWidth="1"/>
    <col min="26" max="26" width="6.85546875" style="1040" customWidth="1"/>
    <col min="27" max="32" width="9.140625" customWidth="1"/>
    <col min="33" max="33" width="9.140625" style="1040" customWidth="1"/>
    <col min="34" max="37" width="9.140625" style="332" customWidth="1"/>
    <col min="38" max="38" width="9.140625" style="1040" customWidth="1"/>
    <col min="39" max="39" width="9.140625" style="1040"/>
    <col min="40" max="16384" width="9.140625" style="332"/>
  </cols>
  <sheetData>
    <row r="1" spans="1:39" ht="9" hidden="1" customHeight="1" x14ac:dyDescent="0.2">
      <c r="A1" s="328"/>
      <c r="B1" s="329"/>
    </row>
    <row r="2" spans="1:39" ht="15" customHeight="1" x14ac:dyDescent="0.2">
      <c r="A2" s="333"/>
      <c r="K2" s="1376"/>
      <c r="L2" s="1376"/>
      <c r="M2" s="1376"/>
      <c r="N2" s="1376"/>
      <c r="O2" s="1376"/>
      <c r="P2" s="536"/>
    </row>
    <row r="3" spans="1:39" s="27" customFormat="1" ht="104.25" customHeight="1" x14ac:dyDescent="0.35">
      <c r="A3" s="816"/>
      <c r="B3" s="1384"/>
      <c r="C3" s="1384"/>
      <c r="D3" s="1384"/>
      <c r="E3" s="1384"/>
      <c r="F3" s="1384"/>
      <c r="G3" s="1384"/>
      <c r="H3" s="1384"/>
      <c r="I3" s="1384"/>
      <c r="J3" s="1384"/>
      <c r="K3" s="1384"/>
      <c r="L3" s="1384"/>
      <c r="M3" s="1384"/>
      <c r="N3" s="557"/>
      <c r="O3" s="557"/>
      <c r="P3" s="558"/>
      <c r="Q3" s="559"/>
      <c r="X3" s="559"/>
      <c r="Y3" s="559"/>
      <c r="Z3" s="1041"/>
      <c r="AG3" s="1016"/>
      <c r="AL3" s="1014"/>
      <c r="AM3" s="1014"/>
    </row>
    <row r="4" spans="1:39" s="2" customFormat="1" ht="18" x14ac:dyDescent="0.25">
      <c r="A4" s="1128"/>
      <c r="B4" s="1129"/>
      <c r="C4" s="1129"/>
      <c r="D4" s="1129"/>
      <c r="E4" s="1129"/>
      <c r="F4" s="1129"/>
      <c r="G4" s="1129"/>
      <c r="H4" s="1129"/>
      <c r="I4" s="1129"/>
      <c r="J4" s="1129"/>
      <c r="K4" s="1129"/>
      <c r="L4" s="1129"/>
      <c r="M4" s="1129"/>
      <c r="N4" s="1129"/>
      <c r="O4" s="1129"/>
      <c r="P4" s="1129"/>
      <c r="Q4" s="1129"/>
      <c r="X4" s="783"/>
      <c r="Y4" s="783"/>
      <c r="Z4" s="1033"/>
      <c r="AG4" s="953"/>
      <c r="AL4" s="745"/>
      <c r="AM4" s="745"/>
    </row>
    <row r="5" spans="1:39" ht="18" customHeight="1" thickBot="1" x14ac:dyDescent="0.3">
      <c r="A5" s="1135"/>
      <c r="B5" s="1129"/>
      <c r="C5" s="1129"/>
      <c r="D5" s="1129"/>
      <c r="E5" s="1129"/>
      <c r="F5" s="1129"/>
      <c r="G5" s="1129"/>
      <c r="H5" s="1129"/>
      <c r="I5" s="1129"/>
      <c r="J5" s="1129"/>
      <c r="K5" s="1129"/>
      <c r="L5" s="1129"/>
      <c r="M5" s="1129"/>
      <c r="N5" s="1129"/>
      <c r="O5" s="1129"/>
      <c r="P5" s="1129"/>
      <c r="Q5" s="1129"/>
      <c r="X5" s="541"/>
      <c r="Y5" s="541"/>
      <c r="Z5" s="1042"/>
    </row>
    <row r="6" spans="1:39" s="335" customFormat="1" ht="30" customHeight="1" x14ac:dyDescent="0.2">
      <c r="A6" s="1324"/>
      <c r="B6" s="1326"/>
      <c r="C6" s="1328"/>
      <c r="D6" s="1330"/>
      <c r="E6" s="1332"/>
      <c r="F6" s="1381"/>
      <c r="G6" s="1381"/>
      <c r="H6" s="1319"/>
      <c r="I6" s="1319"/>
      <c r="J6" s="1321"/>
      <c r="K6" s="1319"/>
      <c r="L6" s="1335"/>
      <c r="M6" s="1319"/>
      <c r="N6" s="1321"/>
      <c r="O6" s="1319"/>
      <c r="P6" s="1320"/>
      <c r="Q6" s="1321"/>
      <c r="X6" s="783"/>
      <c r="Y6" s="783"/>
      <c r="Z6" s="1043"/>
      <c r="AG6" s="1044"/>
      <c r="AL6" s="1045"/>
      <c r="AM6" s="1045"/>
    </row>
    <row r="7" spans="1:39" s="335" customFormat="1" ht="44.25" customHeight="1" thickBot="1" x14ac:dyDescent="0.25">
      <c r="A7" s="1377"/>
      <c r="B7" s="1327"/>
      <c r="C7" s="1378"/>
      <c r="D7" s="1379"/>
      <c r="E7" s="1380"/>
      <c r="F7" s="1382"/>
      <c r="G7" s="1382"/>
      <c r="H7" s="1383"/>
      <c r="I7" s="667"/>
      <c r="J7" s="668"/>
      <c r="K7" s="667"/>
      <c r="L7" s="669"/>
      <c r="M7" s="667"/>
      <c r="N7" s="668"/>
      <c r="O7" s="667"/>
      <c r="P7" s="460"/>
      <c r="Q7" s="668"/>
      <c r="X7" s="1087"/>
      <c r="Y7" s="1087"/>
      <c r="Z7" s="1043"/>
      <c r="AG7" s="1045"/>
      <c r="AL7" s="1045"/>
      <c r="AM7" s="1045"/>
    </row>
    <row r="8" spans="1:39" ht="15" customHeight="1" x14ac:dyDescent="0.2">
      <c r="A8" s="376"/>
      <c r="B8" s="601"/>
      <c r="C8" s="349"/>
      <c r="D8" s="350"/>
      <c r="E8" s="394"/>
      <c r="F8" s="529"/>
      <c r="G8" s="570"/>
      <c r="H8" s="608"/>
      <c r="I8" s="352"/>
      <c r="J8" s="353"/>
      <c r="K8" s="352"/>
      <c r="L8" s="354"/>
      <c r="M8" s="355"/>
      <c r="N8" s="353"/>
      <c r="O8" s="356"/>
      <c r="P8" s="603"/>
      <c r="Q8" s="357"/>
      <c r="X8" s="1086"/>
      <c r="Y8" s="1086"/>
      <c r="Z8" s="1046"/>
    </row>
    <row r="9" spans="1:39" ht="15" customHeight="1" x14ac:dyDescent="0.2">
      <c r="A9" s="347"/>
      <c r="B9" s="601"/>
      <c r="C9" s="349"/>
      <c r="D9" s="350"/>
      <c r="E9" s="394"/>
      <c r="F9" s="529"/>
      <c r="G9" s="570"/>
      <c r="H9" s="608"/>
      <c r="I9" s="352"/>
      <c r="J9" s="353"/>
      <c r="K9" s="352"/>
      <c r="L9" s="354"/>
      <c r="M9" s="355"/>
      <c r="N9" s="353"/>
      <c r="O9" s="356"/>
      <c r="P9" s="603"/>
      <c r="Q9" s="357"/>
      <c r="X9" s="1086"/>
      <c r="Y9" s="1086"/>
      <c r="Z9" s="1046"/>
    </row>
    <row r="10" spans="1:39" ht="15" customHeight="1" x14ac:dyDescent="0.2">
      <c r="A10" s="600"/>
      <c r="B10" s="833"/>
      <c r="C10" s="834"/>
      <c r="D10" s="414"/>
      <c r="E10" s="402"/>
      <c r="F10" s="835"/>
      <c r="G10" s="836"/>
      <c r="H10" s="837"/>
      <c r="I10" s="417"/>
      <c r="J10" s="353"/>
      <c r="K10" s="417"/>
      <c r="L10" s="354"/>
      <c r="M10" s="355"/>
      <c r="N10" s="418"/>
      <c r="O10" s="356"/>
      <c r="P10" s="838"/>
      <c r="Q10" s="357"/>
      <c r="X10" s="1086"/>
      <c r="Y10" s="1086"/>
      <c r="Z10" s="1046"/>
    </row>
    <row r="11" spans="1:39" ht="15" customHeight="1" x14ac:dyDescent="0.2">
      <c r="A11" s="600"/>
      <c r="B11" s="857"/>
      <c r="C11" s="400"/>
      <c r="D11" s="401"/>
      <c r="E11" s="402"/>
      <c r="F11" s="835"/>
      <c r="G11" s="858"/>
      <c r="H11" s="837"/>
      <c r="I11" s="841"/>
      <c r="J11" s="353"/>
      <c r="K11" s="362"/>
      <c r="L11" s="354"/>
      <c r="M11" s="355"/>
      <c r="N11" s="418"/>
      <c r="O11" s="356"/>
      <c r="P11" s="793"/>
      <c r="Q11" s="357"/>
      <c r="X11" s="1086"/>
      <c r="Y11" s="1086"/>
      <c r="Z11" s="1046"/>
    </row>
    <row r="12" spans="1:39" ht="15" customHeight="1" x14ac:dyDescent="0.2">
      <c r="A12" s="600"/>
      <c r="B12" s="839"/>
      <c r="C12" s="400"/>
      <c r="D12" s="401"/>
      <c r="E12" s="402"/>
      <c r="F12" s="835"/>
      <c r="G12" s="840"/>
      <c r="H12" s="837"/>
      <c r="I12" s="841"/>
      <c r="J12" s="353"/>
      <c r="K12" s="362"/>
      <c r="L12" s="354"/>
      <c r="M12" s="355"/>
      <c r="N12" s="418"/>
      <c r="O12" s="356"/>
      <c r="P12" s="603"/>
      <c r="Q12" s="357"/>
      <c r="X12" s="1086"/>
      <c r="Y12" s="1086"/>
      <c r="Z12" s="1046"/>
    </row>
    <row r="13" spans="1:39" ht="15" customHeight="1" thickBot="1" x14ac:dyDescent="0.25">
      <c r="A13" s="600"/>
      <c r="B13" s="842"/>
      <c r="C13" s="406"/>
      <c r="D13" s="407"/>
      <c r="E13" s="408"/>
      <c r="F13" s="843"/>
      <c r="G13" s="844"/>
      <c r="H13" s="845"/>
      <c r="I13" s="846"/>
      <c r="J13" s="370"/>
      <c r="K13" s="371"/>
      <c r="L13" s="425"/>
      <c r="M13" s="851"/>
      <c r="N13" s="410"/>
      <c r="O13" s="426"/>
      <c r="P13" s="796"/>
      <c r="Q13" s="515"/>
      <c r="X13" s="1086"/>
      <c r="Y13" s="1086"/>
      <c r="Z13" s="1046"/>
    </row>
    <row r="14" spans="1:39" ht="15" customHeight="1" x14ac:dyDescent="0.2">
      <c r="A14" s="376"/>
      <c r="B14" s="852"/>
      <c r="C14" s="349"/>
      <c r="D14" s="350"/>
      <c r="E14" s="535"/>
      <c r="F14" s="533"/>
      <c r="G14" s="872"/>
      <c r="H14" s="611"/>
      <c r="I14" s="352"/>
      <c r="J14" s="353"/>
      <c r="K14" s="352"/>
      <c r="L14" s="354"/>
      <c r="M14" s="355"/>
      <c r="N14" s="353"/>
      <c r="O14" s="356"/>
      <c r="P14" s="516"/>
      <c r="Q14" s="357"/>
      <c r="X14" s="1086"/>
      <c r="Y14" s="1086"/>
      <c r="Z14" s="1046"/>
    </row>
    <row r="15" spans="1:39" ht="15" hidden="1" customHeight="1" x14ac:dyDescent="0.2">
      <c r="A15" s="347"/>
      <c r="B15" s="348"/>
      <c r="C15" s="358"/>
      <c r="D15" s="359"/>
      <c r="E15" s="394"/>
      <c r="F15" s="529"/>
      <c r="G15" s="872"/>
      <c r="H15" s="608"/>
      <c r="I15" s="379"/>
      <c r="J15" s="353"/>
      <c r="K15" s="379"/>
      <c r="L15" s="354"/>
      <c r="M15" s="355"/>
      <c r="N15" s="361"/>
      <c r="O15" s="356"/>
      <c r="P15" s="516"/>
      <c r="Q15" s="357"/>
      <c r="X15" s="1086"/>
      <c r="Y15" s="1086"/>
      <c r="Z15" s="1046"/>
    </row>
    <row r="16" spans="1:39" ht="15" customHeight="1" x14ac:dyDescent="0.2">
      <c r="A16" s="347"/>
      <c r="B16" s="348"/>
      <c r="C16" s="358"/>
      <c r="D16" s="359"/>
      <c r="E16" s="394"/>
      <c r="F16" s="529"/>
      <c r="G16" s="872"/>
      <c r="H16" s="608"/>
      <c r="I16" s="379"/>
      <c r="J16" s="353"/>
      <c r="K16" s="379"/>
      <c r="L16" s="354"/>
      <c r="M16" s="355"/>
      <c r="N16" s="361"/>
      <c r="O16" s="356"/>
      <c r="P16" s="516"/>
      <c r="Q16" s="357"/>
      <c r="X16" s="1086"/>
      <c r="Y16" s="1086"/>
      <c r="Z16" s="1046"/>
    </row>
    <row r="17" spans="1:26" ht="15" customHeight="1" x14ac:dyDescent="0.2">
      <c r="A17" s="1315"/>
      <c r="B17" s="382"/>
      <c r="C17" s="358"/>
      <c r="D17" s="359"/>
      <c r="E17" s="394"/>
      <c r="F17" s="529"/>
      <c r="G17" s="872"/>
      <c r="H17" s="608"/>
      <c r="I17" s="379"/>
      <c r="J17" s="353"/>
      <c r="K17" s="379"/>
      <c r="L17" s="354"/>
      <c r="M17" s="355"/>
      <c r="N17" s="361"/>
      <c r="O17" s="356"/>
      <c r="P17" s="516"/>
      <c r="Q17" s="357"/>
      <c r="X17" s="1086"/>
      <c r="Y17" s="1086"/>
      <c r="Z17" s="1046"/>
    </row>
    <row r="18" spans="1:26" ht="15" customHeight="1" x14ac:dyDescent="0.2">
      <c r="A18" s="1315"/>
      <c r="B18" s="420"/>
      <c r="C18" s="400"/>
      <c r="D18" s="401"/>
      <c r="E18" s="402"/>
      <c r="F18" s="835"/>
      <c r="G18" s="858"/>
      <c r="H18" s="837"/>
      <c r="I18" s="362"/>
      <c r="J18" s="418"/>
      <c r="K18" s="362"/>
      <c r="L18" s="419"/>
      <c r="M18" s="355"/>
      <c r="N18" s="361"/>
      <c r="O18" s="356"/>
      <c r="P18" s="516"/>
      <c r="Q18" s="357"/>
      <c r="X18" s="1086"/>
      <c r="Y18" s="1086"/>
      <c r="Z18" s="1046"/>
    </row>
    <row r="19" spans="1:26" ht="15" customHeight="1" x14ac:dyDescent="0.2">
      <c r="A19" s="1315"/>
      <c r="B19" s="420"/>
      <c r="C19" s="400"/>
      <c r="D19" s="401"/>
      <c r="E19" s="402"/>
      <c r="F19" s="835"/>
      <c r="G19" s="858"/>
      <c r="H19" s="837"/>
      <c r="I19" s="362"/>
      <c r="J19" s="418"/>
      <c r="K19" s="362"/>
      <c r="L19" s="419"/>
      <c r="M19" s="355"/>
      <c r="N19" s="361"/>
      <c r="O19" s="356"/>
      <c r="P19" s="516"/>
      <c r="Q19" s="357"/>
      <c r="X19" s="1086"/>
      <c r="Y19" s="1086"/>
      <c r="Z19" s="1046"/>
    </row>
    <row r="20" spans="1:26" ht="15" customHeight="1" x14ac:dyDescent="0.2">
      <c r="A20" s="1315"/>
      <c r="B20" s="435"/>
      <c r="C20" s="400"/>
      <c r="D20" s="401"/>
      <c r="E20" s="402"/>
      <c r="F20" s="835"/>
      <c r="G20" s="858"/>
      <c r="H20" s="837"/>
      <c r="I20" s="362"/>
      <c r="J20" s="418"/>
      <c r="K20" s="362"/>
      <c r="L20" s="419"/>
      <c r="M20" s="355"/>
      <c r="N20" s="361"/>
      <c r="O20" s="356"/>
      <c r="P20" s="516"/>
      <c r="Q20" s="357"/>
      <c r="X20" s="1086"/>
      <c r="Y20" s="1086"/>
      <c r="Z20" s="1046"/>
    </row>
    <row r="21" spans="1:26" ht="15" customHeight="1" x14ac:dyDescent="0.2">
      <c r="A21" s="1315"/>
      <c r="B21" s="420"/>
      <c r="C21" s="400"/>
      <c r="D21" s="401"/>
      <c r="E21" s="402"/>
      <c r="F21" s="835"/>
      <c r="G21" s="858"/>
      <c r="H21" s="837"/>
      <c r="I21" s="362"/>
      <c r="J21" s="418"/>
      <c r="K21" s="362"/>
      <c r="L21" s="419"/>
      <c r="M21" s="355"/>
      <c r="N21" s="361"/>
      <c r="O21" s="356"/>
      <c r="P21" s="516"/>
      <c r="Q21" s="357"/>
      <c r="X21" s="1086"/>
      <c r="Y21" s="1086"/>
      <c r="Z21" s="1046"/>
    </row>
    <row r="22" spans="1:26" ht="15" customHeight="1" x14ac:dyDescent="0.2">
      <c r="A22" s="1315"/>
      <c r="B22" s="420"/>
      <c r="C22" s="400"/>
      <c r="D22" s="401"/>
      <c r="E22" s="402"/>
      <c r="F22" s="835"/>
      <c r="G22" s="858"/>
      <c r="H22" s="837"/>
      <c r="I22" s="362"/>
      <c r="J22" s="418"/>
      <c r="K22" s="362"/>
      <c r="L22" s="419"/>
      <c r="M22" s="355"/>
      <c r="N22" s="361"/>
      <c r="O22" s="356"/>
      <c r="P22" s="516"/>
      <c r="Q22" s="357"/>
      <c r="X22" s="1086"/>
      <c r="Y22" s="1086"/>
      <c r="Z22" s="1046"/>
    </row>
    <row r="23" spans="1:26" ht="15" customHeight="1" x14ac:dyDescent="0.2">
      <c r="A23" s="1315"/>
      <c r="B23" s="420"/>
      <c r="C23" s="400"/>
      <c r="D23" s="401"/>
      <c r="E23" s="402"/>
      <c r="F23" s="835"/>
      <c r="G23" s="858"/>
      <c r="H23" s="837"/>
      <c r="I23" s="362"/>
      <c r="J23" s="418"/>
      <c r="K23" s="362"/>
      <c r="L23" s="419"/>
      <c r="M23" s="355"/>
      <c r="N23" s="361"/>
      <c r="O23" s="356"/>
      <c r="P23" s="516"/>
      <c r="Q23" s="357"/>
      <c r="X23" s="1086"/>
      <c r="Y23" s="1086"/>
      <c r="Z23" s="1046"/>
    </row>
    <row r="24" spans="1:26" ht="15" customHeight="1" x14ac:dyDescent="0.2">
      <c r="A24" s="1315"/>
      <c r="B24" s="420"/>
      <c r="C24" s="400"/>
      <c r="D24" s="401"/>
      <c r="E24" s="402"/>
      <c r="F24" s="835"/>
      <c r="G24" s="858"/>
      <c r="H24" s="837"/>
      <c r="I24" s="362"/>
      <c r="J24" s="418"/>
      <c r="K24" s="362"/>
      <c r="L24" s="419"/>
      <c r="M24" s="355"/>
      <c r="N24" s="361"/>
      <c r="O24" s="356"/>
      <c r="P24" s="516"/>
      <c r="Q24" s="357"/>
      <c r="X24" s="1086"/>
      <c r="Y24" s="1086"/>
      <c r="Z24" s="1046"/>
    </row>
    <row r="25" spans="1:26" ht="15" customHeight="1" x14ac:dyDescent="0.2">
      <c r="A25" s="1315"/>
      <c r="B25" s="420"/>
      <c r="C25" s="400"/>
      <c r="D25" s="401"/>
      <c r="E25" s="402"/>
      <c r="F25" s="835"/>
      <c r="G25" s="858"/>
      <c r="H25" s="837"/>
      <c r="I25" s="362"/>
      <c r="J25" s="418"/>
      <c r="K25" s="362"/>
      <c r="L25" s="419"/>
      <c r="M25" s="355"/>
      <c r="N25" s="361"/>
      <c r="O25" s="356"/>
      <c r="P25" s="516"/>
      <c r="Q25" s="357"/>
      <c r="X25" s="1086"/>
      <c r="Y25" s="1086"/>
      <c r="Z25" s="1046"/>
    </row>
    <row r="26" spans="1:26" ht="15" customHeight="1" x14ac:dyDescent="0.2">
      <c r="A26" s="1315"/>
      <c r="B26" s="420"/>
      <c r="C26" s="400"/>
      <c r="D26" s="401"/>
      <c r="E26" s="402"/>
      <c r="F26" s="835"/>
      <c r="G26" s="858"/>
      <c r="H26" s="837"/>
      <c r="I26" s="362"/>
      <c r="J26" s="418"/>
      <c r="K26" s="362"/>
      <c r="L26" s="419"/>
      <c r="M26" s="355"/>
      <c r="N26" s="361"/>
      <c r="O26" s="356"/>
      <c r="P26" s="516"/>
      <c r="Q26" s="357"/>
      <c r="X26" s="1086"/>
      <c r="Y26" s="1086"/>
      <c r="Z26" s="1046"/>
    </row>
    <row r="27" spans="1:26" ht="15" customHeight="1" x14ac:dyDescent="0.2">
      <c r="A27" s="1315"/>
      <c r="B27" s="420"/>
      <c r="C27" s="400"/>
      <c r="D27" s="401"/>
      <c r="E27" s="402"/>
      <c r="F27" s="835"/>
      <c r="G27" s="858"/>
      <c r="H27" s="837"/>
      <c r="I27" s="362"/>
      <c r="J27" s="418"/>
      <c r="K27" s="362"/>
      <c r="L27" s="419"/>
      <c r="M27" s="355"/>
      <c r="N27" s="361"/>
      <c r="O27" s="356"/>
      <c r="P27" s="516"/>
      <c r="Q27" s="357"/>
      <c r="X27" s="1086"/>
      <c r="Y27" s="1086"/>
      <c r="Z27" s="1046"/>
    </row>
    <row r="28" spans="1:26" ht="15" customHeight="1" x14ac:dyDescent="0.2">
      <c r="A28" s="1315"/>
      <c r="B28" s="420"/>
      <c r="C28" s="400"/>
      <c r="D28" s="401"/>
      <c r="E28" s="402"/>
      <c r="F28" s="835"/>
      <c r="G28" s="858"/>
      <c r="H28" s="837"/>
      <c r="I28" s="362"/>
      <c r="J28" s="418"/>
      <c r="K28" s="362"/>
      <c r="L28" s="419"/>
      <c r="M28" s="355"/>
      <c r="N28" s="361"/>
      <c r="O28" s="356"/>
      <c r="P28" s="516"/>
      <c r="Q28" s="357"/>
      <c r="X28" s="1086"/>
      <c r="Y28" s="1086"/>
      <c r="Z28" s="1046"/>
    </row>
    <row r="29" spans="1:26" ht="15" customHeight="1" x14ac:dyDescent="0.2">
      <c r="A29" s="1315"/>
      <c r="B29" s="420"/>
      <c r="C29" s="400"/>
      <c r="D29" s="401"/>
      <c r="E29" s="402"/>
      <c r="F29" s="835"/>
      <c r="G29" s="858"/>
      <c r="H29" s="837"/>
      <c r="I29" s="362"/>
      <c r="J29" s="418"/>
      <c r="K29" s="362"/>
      <c r="L29" s="419"/>
      <c r="M29" s="355"/>
      <c r="N29" s="361"/>
      <c r="O29" s="356"/>
      <c r="P29" s="516"/>
      <c r="Q29" s="357"/>
      <c r="X29" s="1086"/>
      <c r="Y29" s="1086"/>
      <c r="Z29" s="1046"/>
    </row>
    <row r="30" spans="1:26" ht="15" customHeight="1" thickBot="1" x14ac:dyDescent="0.25">
      <c r="A30" s="1316"/>
      <c r="B30" s="1067"/>
      <c r="C30" s="406"/>
      <c r="D30" s="407"/>
      <c r="E30" s="408"/>
      <c r="F30" s="843"/>
      <c r="G30" s="858"/>
      <c r="H30" s="845"/>
      <c r="I30" s="371"/>
      <c r="J30" s="410"/>
      <c r="K30" s="371"/>
      <c r="L30" s="372"/>
      <c r="M30" s="851"/>
      <c r="N30" s="370"/>
      <c r="O30" s="426"/>
      <c r="P30" s="796"/>
      <c r="Q30" s="515"/>
      <c r="X30" s="1086"/>
      <c r="Y30" s="1086"/>
      <c r="Z30" s="1046"/>
    </row>
    <row r="31" spans="1:26" ht="15" customHeight="1" x14ac:dyDescent="0.2">
      <c r="A31" s="390"/>
      <c r="B31" s="853"/>
      <c r="C31" s="834"/>
      <c r="D31" s="414"/>
      <c r="E31" s="415"/>
      <c r="F31" s="532"/>
      <c r="G31" s="532"/>
      <c r="H31" s="854"/>
      <c r="I31" s="417"/>
      <c r="J31" s="418"/>
      <c r="K31" s="417"/>
      <c r="L31" s="419"/>
      <c r="M31" s="355"/>
      <c r="N31" s="418"/>
      <c r="O31" s="356"/>
      <c r="P31" s="516"/>
      <c r="Q31" s="357"/>
      <c r="X31" s="1086"/>
      <c r="Y31" s="1086"/>
      <c r="Z31" s="1046"/>
    </row>
    <row r="32" spans="1:26" ht="15" hidden="1" customHeight="1" x14ac:dyDescent="0.2">
      <c r="A32" s="393"/>
      <c r="B32" s="420"/>
      <c r="C32" s="400"/>
      <c r="D32" s="401"/>
      <c r="E32" s="402"/>
      <c r="F32" s="530"/>
      <c r="G32" s="530"/>
      <c r="H32" s="1068"/>
      <c r="I32" s="362"/>
      <c r="J32" s="418"/>
      <c r="K32" s="362"/>
      <c r="L32" s="419"/>
      <c r="M32" s="355"/>
      <c r="N32" s="795"/>
      <c r="O32" s="356"/>
      <c r="P32" s="516"/>
      <c r="Q32" s="357"/>
      <c r="X32" s="1086"/>
      <c r="Y32" s="1086"/>
      <c r="Z32" s="1046"/>
    </row>
    <row r="33" spans="1:26" ht="15" customHeight="1" x14ac:dyDescent="0.2">
      <c r="A33" s="393"/>
      <c r="B33" s="420"/>
      <c r="C33" s="400"/>
      <c r="D33" s="401"/>
      <c r="E33" s="402"/>
      <c r="F33" s="530"/>
      <c r="G33" s="530"/>
      <c r="H33" s="609"/>
      <c r="I33" s="362"/>
      <c r="J33" s="418"/>
      <c r="K33" s="362"/>
      <c r="L33" s="419"/>
      <c r="M33" s="355"/>
      <c r="N33" s="361"/>
      <c r="O33" s="356"/>
      <c r="P33" s="516"/>
      <c r="Q33" s="357"/>
      <c r="X33" s="1086"/>
      <c r="Y33" s="1086"/>
      <c r="Z33" s="1046"/>
    </row>
    <row r="34" spans="1:26" ht="15" customHeight="1" x14ac:dyDescent="0.2">
      <c r="A34" s="1315"/>
      <c r="B34" s="420"/>
      <c r="C34" s="400"/>
      <c r="D34" s="401"/>
      <c r="E34" s="402"/>
      <c r="F34" s="530"/>
      <c r="G34" s="530"/>
      <c r="H34" s="609"/>
      <c r="I34" s="362"/>
      <c r="J34" s="418"/>
      <c r="K34" s="362"/>
      <c r="L34" s="419"/>
      <c r="M34" s="355"/>
      <c r="N34" s="361"/>
      <c r="O34" s="356"/>
      <c r="P34" s="516"/>
      <c r="Q34" s="357"/>
      <c r="X34" s="1086"/>
      <c r="Y34" s="1086"/>
      <c r="Z34" s="1046"/>
    </row>
    <row r="35" spans="1:26" ht="15" customHeight="1" x14ac:dyDescent="0.2">
      <c r="A35" s="1315"/>
      <c r="B35" s="420"/>
      <c r="C35" s="400"/>
      <c r="D35" s="401"/>
      <c r="E35" s="402"/>
      <c r="F35" s="530"/>
      <c r="G35" s="530"/>
      <c r="H35" s="609"/>
      <c r="I35" s="362"/>
      <c r="J35" s="418"/>
      <c r="K35" s="362"/>
      <c r="L35" s="419"/>
      <c r="M35" s="355"/>
      <c r="N35" s="361"/>
      <c r="O35" s="356"/>
      <c r="P35" s="516"/>
      <c r="Q35" s="357"/>
      <c r="X35" s="1086"/>
      <c r="Y35" s="1086"/>
      <c r="Z35" s="1046"/>
    </row>
    <row r="36" spans="1:26" ht="15" customHeight="1" x14ac:dyDescent="0.2">
      <c r="A36" s="1315"/>
      <c r="B36" s="420"/>
      <c r="C36" s="400"/>
      <c r="D36" s="401"/>
      <c r="E36" s="402"/>
      <c r="F36" s="835"/>
      <c r="G36" s="835"/>
      <c r="H36" s="848"/>
      <c r="I36" s="362"/>
      <c r="J36" s="418"/>
      <c r="K36" s="362"/>
      <c r="L36" s="419"/>
      <c r="M36" s="355"/>
      <c r="N36" s="361"/>
      <c r="O36" s="356"/>
      <c r="P36" s="516"/>
      <c r="Q36" s="357"/>
      <c r="X36" s="1086"/>
      <c r="Y36" s="1086"/>
      <c r="Z36" s="1046"/>
    </row>
    <row r="37" spans="1:26" ht="15" customHeight="1" x14ac:dyDescent="0.2">
      <c r="A37" s="1315"/>
      <c r="B37" s="847"/>
      <c r="C37" s="400"/>
      <c r="D37" s="401"/>
      <c r="E37" s="402"/>
      <c r="F37" s="835"/>
      <c r="G37" s="835"/>
      <c r="H37" s="848"/>
      <c r="I37" s="362"/>
      <c r="J37" s="418"/>
      <c r="K37" s="362"/>
      <c r="L37" s="419"/>
      <c r="M37" s="355"/>
      <c r="N37" s="404"/>
      <c r="O37" s="356"/>
      <c r="P37" s="516"/>
      <c r="Q37" s="357"/>
      <c r="X37" s="1086"/>
      <c r="Y37" s="1086"/>
      <c r="Z37" s="1046"/>
    </row>
    <row r="38" spans="1:26" ht="15" hidden="1" customHeight="1" x14ac:dyDescent="0.2">
      <c r="A38" s="1315"/>
      <c r="B38" s="847"/>
      <c r="C38" s="400"/>
      <c r="D38" s="401"/>
      <c r="E38" s="402"/>
      <c r="F38" s="835"/>
      <c r="G38" s="835"/>
      <c r="H38" s="1069"/>
      <c r="I38" s="362"/>
      <c r="J38" s="418"/>
      <c r="K38" s="362"/>
      <c r="L38" s="419"/>
      <c r="M38" s="355"/>
      <c r="N38" s="795"/>
      <c r="O38" s="356"/>
      <c r="P38" s="516"/>
      <c r="Q38" s="357"/>
      <c r="X38" s="1086"/>
      <c r="Y38" s="1086"/>
      <c r="Z38" s="1046"/>
    </row>
    <row r="39" spans="1:26" ht="15" customHeight="1" x14ac:dyDescent="0.2">
      <c r="A39" s="1315"/>
      <c r="B39" s="849"/>
      <c r="C39" s="400"/>
      <c r="D39" s="401"/>
      <c r="E39" s="402"/>
      <c r="F39" s="530"/>
      <c r="G39" s="530"/>
      <c r="H39" s="609"/>
      <c r="I39" s="362"/>
      <c r="J39" s="418"/>
      <c r="K39" s="362"/>
      <c r="L39" s="419"/>
      <c r="M39" s="355"/>
      <c r="N39" s="361"/>
      <c r="O39" s="356"/>
      <c r="P39" s="516"/>
      <c r="Q39" s="357"/>
      <c r="X39" s="1086"/>
      <c r="Y39" s="1086"/>
      <c r="Z39" s="1046"/>
    </row>
    <row r="40" spans="1:26" ht="15" customHeight="1" x14ac:dyDescent="0.2">
      <c r="A40" s="1315"/>
      <c r="B40" s="849"/>
      <c r="C40" s="400"/>
      <c r="D40" s="401"/>
      <c r="E40" s="402"/>
      <c r="F40" s="530"/>
      <c r="G40" s="530"/>
      <c r="H40" s="609"/>
      <c r="I40" s="362"/>
      <c r="J40" s="418"/>
      <c r="K40" s="362"/>
      <c r="L40" s="419"/>
      <c r="M40" s="355"/>
      <c r="N40" s="361"/>
      <c r="O40" s="356"/>
      <c r="P40" s="516"/>
      <c r="Q40" s="357"/>
      <c r="X40" s="1086"/>
      <c r="Y40" s="1086"/>
      <c r="Z40" s="1046"/>
    </row>
    <row r="41" spans="1:26" ht="15" customHeight="1" x14ac:dyDescent="0.2">
      <c r="A41" s="1315"/>
      <c r="B41" s="849"/>
      <c r="C41" s="400"/>
      <c r="D41" s="401"/>
      <c r="E41" s="402"/>
      <c r="F41" s="530"/>
      <c r="G41" s="530"/>
      <c r="H41" s="609"/>
      <c r="I41" s="362"/>
      <c r="J41" s="418"/>
      <c r="K41" s="362"/>
      <c r="L41" s="419"/>
      <c r="M41" s="355"/>
      <c r="N41" s="361"/>
      <c r="O41" s="356"/>
      <c r="P41" s="516"/>
      <c r="Q41" s="357"/>
      <c r="X41" s="1086"/>
      <c r="Y41" s="1086"/>
      <c r="Z41" s="1046"/>
    </row>
    <row r="42" spans="1:26" ht="15" customHeight="1" x14ac:dyDescent="0.2">
      <c r="A42" s="1315"/>
      <c r="B42" s="849"/>
      <c r="C42" s="400"/>
      <c r="D42" s="401"/>
      <c r="E42" s="402"/>
      <c r="F42" s="530"/>
      <c r="G42" s="530"/>
      <c r="H42" s="609"/>
      <c r="I42" s="362"/>
      <c r="J42" s="418"/>
      <c r="K42" s="362"/>
      <c r="L42" s="419"/>
      <c r="M42" s="355"/>
      <c r="N42" s="361"/>
      <c r="O42" s="356"/>
      <c r="P42" s="516"/>
      <c r="Q42" s="357"/>
      <c r="X42" s="1086"/>
      <c r="Y42" s="1086"/>
      <c r="Z42" s="1046"/>
    </row>
    <row r="43" spans="1:26" ht="15" customHeight="1" x14ac:dyDescent="0.2">
      <c r="A43" s="1315"/>
      <c r="B43" s="849"/>
      <c r="C43" s="400"/>
      <c r="D43" s="401"/>
      <c r="E43" s="402"/>
      <c r="F43" s="530"/>
      <c r="G43" s="530"/>
      <c r="H43" s="609"/>
      <c r="I43" s="362"/>
      <c r="J43" s="418"/>
      <c r="K43" s="362"/>
      <c r="L43" s="419"/>
      <c r="M43" s="355"/>
      <c r="N43" s="361"/>
      <c r="O43" s="356"/>
      <c r="P43" s="516"/>
      <c r="Q43" s="357"/>
      <c r="X43" s="1086"/>
      <c r="Y43" s="1086"/>
      <c r="Z43" s="1046"/>
    </row>
    <row r="44" spans="1:26" ht="15" customHeight="1" x14ac:dyDescent="0.2">
      <c r="A44" s="1315"/>
      <c r="B44" s="849"/>
      <c r="C44" s="400"/>
      <c r="D44" s="401"/>
      <c r="E44" s="402"/>
      <c r="F44" s="530"/>
      <c r="G44" s="530"/>
      <c r="H44" s="609"/>
      <c r="I44" s="362"/>
      <c r="J44" s="418"/>
      <c r="K44" s="362"/>
      <c r="L44" s="419"/>
      <c r="M44" s="355"/>
      <c r="N44" s="361"/>
      <c r="O44" s="356"/>
      <c r="P44" s="516"/>
      <c r="Q44" s="357"/>
      <c r="X44" s="1086"/>
      <c r="Y44" s="1086"/>
      <c r="Z44" s="1046"/>
    </row>
    <row r="45" spans="1:26" ht="15" customHeight="1" x14ac:dyDescent="0.2">
      <c r="A45" s="1315"/>
      <c r="B45" s="849"/>
      <c r="C45" s="400"/>
      <c r="D45" s="401"/>
      <c r="E45" s="402"/>
      <c r="F45" s="530"/>
      <c r="G45" s="530"/>
      <c r="H45" s="609"/>
      <c r="I45" s="362"/>
      <c r="J45" s="418"/>
      <c r="K45" s="362"/>
      <c r="L45" s="419"/>
      <c r="M45" s="355"/>
      <c r="N45" s="361"/>
      <c r="O45" s="356"/>
      <c r="P45" s="516"/>
      <c r="Q45" s="357"/>
      <c r="X45" s="1086"/>
      <c r="Y45" s="1086"/>
      <c r="Z45" s="1046"/>
    </row>
    <row r="46" spans="1:26" ht="15" customHeight="1" x14ac:dyDescent="0.2">
      <c r="A46" s="1315"/>
      <c r="B46" s="849"/>
      <c r="C46" s="400"/>
      <c r="D46" s="401"/>
      <c r="E46" s="402"/>
      <c r="F46" s="530"/>
      <c r="G46" s="530"/>
      <c r="H46" s="609"/>
      <c r="I46" s="362"/>
      <c r="J46" s="418"/>
      <c r="K46" s="362"/>
      <c r="L46" s="419"/>
      <c r="M46" s="355"/>
      <c r="N46" s="361"/>
      <c r="O46" s="356"/>
      <c r="P46" s="516"/>
      <c r="Q46" s="357"/>
      <c r="X46" s="1086"/>
      <c r="Y46" s="1086"/>
      <c r="Z46" s="1046"/>
    </row>
    <row r="47" spans="1:26" ht="15" customHeight="1" x14ac:dyDescent="0.2">
      <c r="A47" s="1315"/>
      <c r="B47" s="849"/>
      <c r="C47" s="400"/>
      <c r="D47" s="401"/>
      <c r="E47" s="402"/>
      <c r="F47" s="530"/>
      <c r="G47" s="530"/>
      <c r="H47" s="609"/>
      <c r="I47" s="362"/>
      <c r="J47" s="418"/>
      <c r="K47" s="362"/>
      <c r="L47" s="419"/>
      <c r="M47" s="355"/>
      <c r="N47" s="404"/>
      <c r="O47" s="356"/>
      <c r="P47" s="516"/>
      <c r="Q47" s="357"/>
      <c r="X47" s="1086"/>
      <c r="Y47" s="1086"/>
      <c r="Z47" s="1046"/>
    </row>
    <row r="48" spans="1:26" ht="15" customHeight="1" thickBot="1" x14ac:dyDescent="0.25">
      <c r="A48" s="1316"/>
      <c r="B48" s="1070"/>
      <c r="C48" s="406"/>
      <c r="D48" s="407"/>
      <c r="E48" s="408"/>
      <c r="F48" s="531"/>
      <c r="G48" s="531"/>
      <c r="H48" s="610"/>
      <c r="I48" s="371"/>
      <c r="J48" s="410"/>
      <c r="K48" s="371"/>
      <c r="L48" s="372"/>
      <c r="M48" s="851"/>
      <c r="N48" s="410"/>
      <c r="O48" s="426"/>
      <c r="P48" s="796"/>
      <c r="Q48" s="515"/>
      <c r="X48" s="1086"/>
      <c r="Y48" s="1086"/>
      <c r="Z48" s="1046"/>
    </row>
    <row r="49" spans="1:26" ht="15" customHeight="1" x14ac:dyDescent="0.2">
      <c r="A49" s="411"/>
      <c r="B49" s="852"/>
      <c r="C49" s="413"/>
      <c r="D49" s="414"/>
      <c r="E49" s="415"/>
      <c r="F49" s="532"/>
      <c r="G49" s="532"/>
      <c r="H49" s="854"/>
      <c r="I49" s="417"/>
      <c r="J49" s="418"/>
      <c r="K49" s="417"/>
      <c r="L49" s="419"/>
      <c r="M49" s="355"/>
      <c r="N49" s="418"/>
      <c r="O49" s="356"/>
      <c r="P49" s="516"/>
      <c r="Q49" s="357"/>
      <c r="X49" s="1086"/>
      <c r="Y49" s="1086"/>
      <c r="Z49" s="1046"/>
    </row>
    <row r="50" spans="1:26" ht="15" customHeight="1" x14ac:dyDescent="0.2">
      <c r="A50" s="393"/>
      <c r="B50" s="435"/>
      <c r="C50" s="403"/>
      <c r="D50" s="401"/>
      <c r="E50" s="402"/>
      <c r="F50" s="530"/>
      <c r="G50" s="530"/>
      <c r="H50" s="609"/>
      <c r="I50" s="362"/>
      <c r="J50" s="418"/>
      <c r="K50" s="362"/>
      <c r="L50" s="419"/>
      <c r="M50" s="355"/>
      <c r="N50" s="361"/>
      <c r="O50" s="356"/>
      <c r="P50" s="516"/>
      <c r="Q50" s="357"/>
      <c r="X50" s="1086"/>
      <c r="Y50" s="1086"/>
      <c r="Z50" s="1046"/>
    </row>
    <row r="51" spans="1:26" ht="15" customHeight="1" x14ac:dyDescent="0.2">
      <c r="A51" s="1315"/>
      <c r="B51" s="420"/>
      <c r="C51" s="403"/>
      <c r="D51" s="401"/>
      <c r="E51" s="402"/>
      <c r="F51" s="530"/>
      <c r="G51" s="530"/>
      <c r="H51" s="609"/>
      <c r="I51" s="362"/>
      <c r="J51" s="418"/>
      <c r="K51" s="362"/>
      <c r="L51" s="419"/>
      <c r="M51" s="355"/>
      <c r="N51" s="361"/>
      <c r="O51" s="356"/>
      <c r="P51" s="516"/>
      <c r="Q51" s="357"/>
      <c r="X51" s="1086"/>
      <c r="Y51" s="1086"/>
      <c r="Z51" s="1046"/>
    </row>
    <row r="52" spans="1:26" ht="15" customHeight="1" x14ac:dyDescent="0.2">
      <c r="A52" s="1315"/>
      <c r="B52" s="420"/>
      <c r="C52" s="403"/>
      <c r="D52" s="401"/>
      <c r="E52" s="402"/>
      <c r="F52" s="530"/>
      <c r="G52" s="530"/>
      <c r="H52" s="609"/>
      <c r="I52" s="362"/>
      <c r="J52" s="418"/>
      <c r="K52" s="362"/>
      <c r="L52" s="419"/>
      <c r="M52" s="355"/>
      <c r="N52" s="361"/>
      <c r="O52" s="356"/>
      <c r="P52" s="516"/>
      <c r="Q52" s="357"/>
      <c r="X52" s="1086"/>
      <c r="Y52" s="1086"/>
      <c r="Z52" s="1046"/>
    </row>
    <row r="53" spans="1:26" ht="15" customHeight="1" x14ac:dyDescent="0.2">
      <c r="A53" s="1315"/>
      <c r="B53" s="435"/>
      <c r="C53" s="403"/>
      <c r="D53" s="401"/>
      <c r="E53" s="402"/>
      <c r="F53" s="835"/>
      <c r="G53" s="835"/>
      <c r="H53" s="848"/>
      <c r="I53" s="362"/>
      <c r="J53" s="418"/>
      <c r="K53" s="362"/>
      <c r="L53" s="419"/>
      <c r="M53" s="355"/>
      <c r="N53" s="361"/>
      <c r="O53" s="356"/>
      <c r="P53" s="516"/>
      <c r="Q53" s="357"/>
      <c r="X53" s="1086"/>
      <c r="Y53" s="1086"/>
      <c r="Z53" s="1046"/>
    </row>
    <row r="54" spans="1:26" ht="15" customHeight="1" x14ac:dyDescent="0.2">
      <c r="A54" s="1315"/>
      <c r="B54" s="435"/>
      <c r="C54" s="403"/>
      <c r="D54" s="401"/>
      <c r="E54" s="402"/>
      <c r="F54" s="532"/>
      <c r="G54" s="532"/>
      <c r="H54" s="854"/>
      <c r="I54" s="362"/>
      <c r="J54" s="418"/>
      <c r="K54" s="362"/>
      <c r="L54" s="419"/>
      <c r="M54" s="355"/>
      <c r="N54" s="361"/>
      <c r="O54" s="356"/>
      <c r="P54" s="516"/>
      <c r="Q54" s="357"/>
      <c r="X54" s="1086"/>
      <c r="Y54" s="1086"/>
      <c r="Z54" s="1046"/>
    </row>
    <row r="55" spans="1:26" ht="15" customHeight="1" x14ac:dyDescent="0.2">
      <c r="A55" s="1315"/>
      <c r="B55" s="420"/>
      <c r="C55" s="403"/>
      <c r="D55" s="401"/>
      <c r="E55" s="402"/>
      <c r="F55" s="530"/>
      <c r="G55" s="530"/>
      <c r="H55" s="609"/>
      <c r="I55" s="362"/>
      <c r="J55" s="418"/>
      <c r="K55" s="362"/>
      <c r="L55" s="419"/>
      <c r="M55" s="355"/>
      <c r="N55" s="361"/>
      <c r="O55" s="356"/>
      <c r="P55" s="516"/>
      <c r="Q55" s="357"/>
      <c r="X55" s="1086"/>
      <c r="Y55" s="1086"/>
      <c r="Z55" s="1046"/>
    </row>
    <row r="56" spans="1:26" ht="15" customHeight="1" x14ac:dyDescent="0.2">
      <c r="A56" s="1315"/>
      <c r="B56" s="435"/>
      <c r="C56" s="403"/>
      <c r="D56" s="401"/>
      <c r="E56" s="402"/>
      <c r="F56" s="530"/>
      <c r="G56" s="530"/>
      <c r="H56" s="609"/>
      <c r="I56" s="362"/>
      <c r="J56" s="418"/>
      <c r="K56" s="362"/>
      <c r="L56" s="419"/>
      <c r="M56" s="355"/>
      <c r="N56" s="361"/>
      <c r="O56" s="356"/>
      <c r="P56" s="516"/>
      <c r="Q56" s="357"/>
      <c r="X56" s="1086"/>
      <c r="Y56" s="1086"/>
      <c r="Z56" s="1046"/>
    </row>
    <row r="57" spans="1:26" ht="15" customHeight="1" x14ac:dyDescent="0.2">
      <c r="A57" s="1315"/>
      <c r="B57" s="435"/>
      <c r="C57" s="403"/>
      <c r="D57" s="401"/>
      <c r="E57" s="402"/>
      <c r="F57" s="530"/>
      <c r="G57" s="530"/>
      <c r="H57" s="609"/>
      <c r="I57" s="362"/>
      <c r="J57" s="418"/>
      <c r="K57" s="362"/>
      <c r="L57" s="419"/>
      <c r="M57" s="355"/>
      <c r="N57" s="361"/>
      <c r="O57" s="356"/>
      <c r="P57" s="516"/>
      <c r="Q57" s="357"/>
      <c r="X57" s="1086"/>
      <c r="Y57" s="1086"/>
      <c r="Z57" s="1046"/>
    </row>
    <row r="58" spans="1:26" ht="15" customHeight="1" x14ac:dyDescent="0.2">
      <c r="A58" s="1315"/>
      <c r="B58" s="420"/>
      <c r="C58" s="403"/>
      <c r="D58" s="401"/>
      <c r="E58" s="402"/>
      <c r="F58" s="530"/>
      <c r="G58" s="530"/>
      <c r="H58" s="609"/>
      <c r="I58" s="362"/>
      <c r="J58" s="418"/>
      <c r="K58" s="362"/>
      <c r="L58" s="419"/>
      <c r="M58" s="355"/>
      <c r="N58" s="361"/>
      <c r="O58" s="356"/>
      <c r="P58" s="516"/>
      <c r="Q58" s="357"/>
      <c r="X58" s="1086"/>
      <c r="Y58" s="1086"/>
      <c r="Z58" s="1046"/>
    </row>
    <row r="59" spans="1:26" ht="15" customHeight="1" x14ac:dyDescent="0.2">
      <c r="A59" s="1315"/>
      <c r="B59" s="435"/>
      <c r="C59" s="403"/>
      <c r="D59" s="401"/>
      <c r="E59" s="402"/>
      <c r="F59" s="530"/>
      <c r="G59" s="530"/>
      <c r="H59" s="609"/>
      <c r="I59" s="362"/>
      <c r="J59" s="418"/>
      <c r="K59" s="362"/>
      <c r="L59" s="419"/>
      <c r="M59" s="355"/>
      <c r="N59" s="361"/>
      <c r="O59" s="356"/>
      <c r="P59" s="516"/>
      <c r="Q59" s="357"/>
      <c r="X59" s="1086"/>
      <c r="Y59" s="1086"/>
      <c r="Z59" s="1046"/>
    </row>
    <row r="60" spans="1:26" ht="15" customHeight="1" x14ac:dyDescent="0.2">
      <c r="A60" s="1315"/>
      <c r="B60" s="420"/>
      <c r="C60" s="403"/>
      <c r="D60" s="401"/>
      <c r="E60" s="402"/>
      <c r="F60" s="530"/>
      <c r="G60" s="530"/>
      <c r="H60" s="609"/>
      <c r="I60" s="362"/>
      <c r="J60" s="418"/>
      <c r="K60" s="362"/>
      <c r="L60" s="419"/>
      <c r="M60" s="355"/>
      <c r="N60" s="361"/>
      <c r="O60" s="356"/>
      <c r="P60" s="516"/>
      <c r="Q60" s="357"/>
      <c r="X60" s="1086"/>
      <c r="Y60" s="1086"/>
      <c r="Z60" s="1046"/>
    </row>
    <row r="61" spans="1:26" ht="15" customHeight="1" x14ac:dyDescent="0.2">
      <c r="A61" s="1315"/>
      <c r="B61" s="420"/>
      <c r="C61" s="403"/>
      <c r="D61" s="401"/>
      <c r="E61" s="402"/>
      <c r="F61" s="530"/>
      <c r="G61" s="530"/>
      <c r="H61" s="609"/>
      <c r="I61" s="362"/>
      <c r="J61" s="418"/>
      <c r="K61" s="362"/>
      <c r="L61" s="419"/>
      <c r="M61" s="355"/>
      <c r="N61" s="361"/>
      <c r="O61" s="356"/>
      <c r="P61" s="516"/>
      <c r="Q61" s="357"/>
      <c r="X61" s="1086"/>
      <c r="Y61" s="1086"/>
      <c r="Z61" s="1046"/>
    </row>
    <row r="62" spans="1:26" ht="15" customHeight="1" x14ac:dyDescent="0.2">
      <c r="A62" s="1315"/>
      <c r="B62" s="420"/>
      <c r="C62" s="403"/>
      <c r="D62" s="401"/>
      <c r="E62" s="402"/>
      <c r="F62" s="530"/>
      <c r="G62" s="530"/>
      <c r="H62" s="609"/>
      <c r="I62" s="362"/>
      <c r="J62" s="418"/>
      <c r="K62" s="362"/>
      <c r="L62" s="419"/>
      <c r="M62" s="355"/>
      <c r="N62" s="361"/>
      <c r="O62" s="356"/>
      <c r="P62" s="516"/>
      <c r="Q62" s="357"/>
      <c r="X62" s="1086"/>
      <c r="Y62" s="1086"/>
      <c r="Z62" s="1046"/>
    </row>
    <row r="63" spans="1:26" ht="15" customHeight="1" x14ac:dyDescent="0.2">
      <c r="A63" s="1315"/>
      <c r="B63" s="420"/>
      <c r="C63" s="403"/>
      <c r="D63" s="401"/>
      <c r="E63" s="402"/>
      <c r="F63" s="530"/>
      <c r="G63" s="530"/>
      <c r="H63" s="609"/>
      <c r="I63" s="362"/>
      <c r="J63" s="418"/>
      <c r="K63" s="362"/>
      <c r="L63" s="419"/>
      <c r="M63" s="355"/>
      <c r="N63" s="361"/>
      <c r="O63" s="356"/>
      <c r="P63" s="516"/>
      <c r="Q63" s="357"/>
      <c r="X63" s="1086"/>
      <c r="Y63" s="1086"/>
      <c r="Z63" s="1046"/>
    </row>
    <row r="64" spans="1:26" ht="15" customHeight="1" thickBot="1" x14ac:dyDescent="0.25">
      <c r="A64" s="1316"/>
      <c r="B64" s="1067"/>
      <c r="C64" s="409"/>
      <c r="D64" s="407"/>
      <c r="E64" s="408"/>
      <c r="F64" s="531"/>
      <c r="G64" s="531"/>
      <c r="H64" s="610"/>
      <c r="I64" s="371"/>
      <c r="J64" s="410"/>
      <c r="K64" s="371"/>
      <c r="L64" s="372"/>
      <c r="M64" s="851"/>
      <c r="N64" s="370"/>
      <c r="O64" s="426"/>
      <c r="P64" s="796"/>
      <c r="Q64" s="515"/>
      <c r="X64" s="1086"/>
      <c r="Y64" s="1086"/>
      <c r="Z64" s="1046"/>
    </row>
    <row r="65" spans="1:26" ht="15" customHeight="1" x14ac:dyDescent="0.2">
      <c r="A65" s="376"/>
      <c r="B65" s="852"/>
      <c r="C65" s="413"/>
      <c r="D65" s="414"/>
      <c r="E65" s="415"/>
      <c r="F65" s="532"/>
      <c r="G65" s="532"/>
      <c r="H65" s="854"/>
      <c r="I65" s="417"/>
      <c r="J65" s="418"/>
      <c r="K65" s="417"/>
      <c r="L65" s="419"/>
      <c r="M65" s="355"/>
      <c r="N65" s="353"/>
      <c r="O65" s="356"/>
      <c r="P65" s="516"/>
      <c r="Q65" s="357"/>
      <c r="X65" s="1086"/>
      <c r="Y65" s="1086"/>
      <c r="Z65" s="1046"/>
    </row>
    <row r="66" spans="1:26" ht="15" customHeight="1" x14ac:dyDescent="0.2">
      <c r="A66" s="393"/>
      <c r="B66" s="435"/>
      <c r="C66" s="403"/>
      <c r="D66" s="401"/>
      <c r="E66" s="402"/>
      <c r="F66" s="530"/>
      <c r="G66" s="530"/>
      <c r="H66" s="609"/>
      <c r="I66" s="362"/>
      <c r="J66" s="418"/>
      <c r="K66" s="362"/>
      <c r="L66" s="419"/>
      <c r="M66" s="355"/>
      <c r="N66" s="361"/>
      <c r="O66" s="356"/>
      <c r="P66" s="516"/>
      <c r="Q66" s="357"/>
      <c r="X66" s="1086"/>
      <c r="Y66" s="1086"/>
      <c r="Z66" s="1046"/>
    </row>
    <row r="67" spans="1:26" ht="15" customHeight="1" x14ac:dyDescent="0.2">
      <c r="A67" s="1315"/>
      <c r="B67" s="420"/>
      <c r="C67" s="403"/>
      <c r="D67" s="401"/>
      <c r="E67" s="402"/>
      <c r="F67" s="530"/>
      <c r="G67" s="530"/>
      <c r="H67" s="609"/>
      <c r="I67" s="362"/>
      <c r="J67" s="418"/>
      <c r="K67" s="362"/>
      <c r="L67" s="419"/>
      <c r="M67" s="355"/>
      <c r="N67" s="361"/>
      <c r="O67" s="356"/>
      <c r="P67" s="516"/>
      <c r="Q67" s="357"/>
      <c r="X67" s="1086"/>
      <c r="Y67" s="1086"/>
      <c r="Z67" s="1046"/>
    </row>
    <row r="68" spans="1:26" ht="15" customHeight="1" x14ac:dyDescent="0.2">
      <c r="A68" s="1315"/>
      <c r="B68" s="435"/>
      <c r="C68" s="403"/>
      <c r="D68" s="401"/>
      <c r="E68" s="402"/>
      <c r="F68" s="530"/>
      <c r="G68" s="530"/>
      <c r="H68" s="609"/>
      <c r="I68" s="362"/>
      <c r="J68" s="418"/>
      <c r="K68" s="362"/>
      <c r="L68" s="419"/>
      <c r="M68" s="355"/>
      <c r="N68" s="361"/>
      <c r="O68" s="356"/>
      <c r="P68" s="516"/>
      <c r="Q68" s="357"/>
      <c r="X68" s="1086"/>
      <c r="Y68" s="1086"/>
      <c r="Z68" s="1046"/>
    </row>
    <row r="69" spans="1:26" ht="15" customHeight="1" x14ac:dyDescent="0.2">
      <c r="A69" s="1315"/>
      <c r="B69" s="420"/>
      <c r="C69" s="403"/>
      <c r="D69" s="401"/>
      <c r="E69" s="402"/>
      <c r="F69" s="530"/>
      <c r="G69" s="530"/>
      <c r="H69" s="609"/>
      <c r="I69" s="362"/>
      <c r="J69" s="418"/>
      <c r="K69" s="362"/>
      <c r="L69" s="419"/>
      <c r="M69" s="355"/>
      <c r="N69" s="361"/>
      <c r="O69" s="356"/>
      <c r="P69" s="516"/>
      <c r="Q69" s="357"/>
      <c r="X69" s="1086"/>
      <c r="Y69" s="1086"/>
      <c r="Z69" s="1046"/>
    </row>
    <row r="70" spans="1:26" ht="15" customHeight="1" x14ac:dyDescent="0.2">
      <c r="A70" s="1315"/>
      <c r="B70" s="435"/>
      <c r="C70" s="403"/>
      <c r="D70" s="401"/>
      <c r="E70" s="402"/>
      <c r="F70" s="532"/>
      <c r="G70" s="532"/>
      <c r="H70" s="854"/>
      <c r="I70" s="362"/>
      <c r="J70" s="418"/>
      <c r="K70" s="362"/>
      <c r="L70" s="419"/>
      <c r="M70" s="355"/>
      <c r="N70" s="361"/>
      <c r="O70" s="356"/>
      <c r="P70" s="516"/>
      <c r="Q70" s="357"/>
      <c r="X70" s="1086"/>
      <c r="Y70" s="1086"/>
      <c r="Z70" s="1046"/>
    </row>
    <row r="71" spans="1:26" ht="15" customHeight="1" x14ac:dyDescent="0.2">
      <c r="A71" s="1315"/>
      <c r="B71" s="420"/>
      <c r="C71" s="403"/>
      <c r="D71" s="401"/>
      <c r="E71" s="402"/>
      <c r="F71" s="530"/>
      <c r="G71" s="530"/>
      <c r="H71" s="609"/>
      <c r="I71" s="362"/>
      <c r="J71" s="418"/>
      <c r="K71" s="362"/>
      <c r="L71" s="419"/>
      <c r="M71" s="355"/>
      <c r="N71" s="361"/>
      <c r="O71" s="356"/>
      <c r="P71" s="516"/>
      <c r="Q71" s="357"/>
      <c r="X71" s="1086"/>
      <c r="Y71" s="1086"/>
      <c r="Z71" s="1046"/>
    </row>
    <row r="72" spans="1:26" ht="15" customHeight="1" x14ac:dyDescent="0.2">
      <c r="A72" s="1315"/>
      <c r="B72" s="435"/>
      <c r="C72" s="403"/>
      <c r="D72" s="401"/>
      <c r="E72" s="402"/>
      <c r="F72" s="530"/>
      <c r="G72" s="530"/>
      <c r="H72" s="609"/>
      <c r="I72" s="362"/>
      <c r="J72" s="418"/>
      <c r="K72" s="362"/>
      <c r="L72" s="419"/>
      <c r="M72" s="355"/>
      <c r="N72" s="361"/>
      <c r="O72" s="356"/>
      <c r="P72" s="516"/>
      <c r="Q72" s="357"/>
      <c r="X72" s="1086"/>
      <c r="Y72" s="1086"/>
      <c r="Z72" s="1046"/>
    </row>
    <row r="73" spans="1:26" ht="15" customHeight="1" x14ac:dyDescent="0.2">
      <c r="A73" s="1315"/>
      <c r="B73" s="420"/>
      <c r="C73" s="403"/>
      <c r="D73" s="401"/>
      <c r="E73" s="402"/>
      <c r="F73" s="530"/>
      <c r="G73" s="530"/>
      <c r="H73" s="609"/>
      <c r="I73" s="362"/>
      <c r="J73" s="418"/>
      <c r="K73" s="362"/>
      <c r="L73" s="419"/>
      <c r="M73" s="355"/>
      <c r="N73" s="361"/>
      <c r="O73" s="356"/>
      <c r="P73" s="516"/>
      <c r="Q73" s="357"/>
      <c r="X73" s="1086"/>
      <c r="Y73" s="1086"/>
      <c r="Z73" s="1046"/>
    </row>
    <row r="74" spans="1:26" ht="15" customHeight="1" x14ac:dyDescent="0.2">
      <c r="A74" s="1315"/>
      <c r="B74" s="420"/>
      <c r="C74" s="403"/>
      <c r="D74" s="401"/>
      <c r="E74" s="402"/>
      <c r="F74" s="530"/>
      <c r="G74" s="530"/>
      <c r="H74" s="609"/>
      <c r="I74" s="362"/>
      <c r="J74" s="418"/>
      <c r="K74" s="362"/>
      <c r="L74" s="419"/>
      <c r="M74" s="355"/>
      <c r="N74" s="361"/>
      <c r="O74" s="356"/>
      <c r="P74" s="516"/>
      <c r="Q74" s="357"/>
      <c r="X74" s="1086"/>
      <c r="Y74" s="1086"/>
      <c r="Z74" s="1046"/>
    </row>
    <row r="75" spans="1:26" ht="15" customHeight="1" thickBot="1" x14ac:dyDescent="0.25">
      <c r="A75" s="1315"/>
      <c r="B75" s="1071"/>
      <c r="C75" s="409"/>
      <c r="D75" s="407"/>
      <c r="E75" s="408"/>
      <c r="F75" s="531"/>
      <c r="G75" s="531"/>
      <c r="H75" s="610"/>
      <c r="I75" s="371"/>
      <c r="J75" s="410"/>
      <c r="K75" s="371"/>
      <c r="L75" s="372"/>
      <c r="M75" s="851"/>
      <c r="N75" s="370"/>
      <c r="O75" s="426"/>
      <c r="P75" s="796"/>
      <c r="Q75" s="515"/>
      <c r="X75" s="1086"/>
      <c r="Y75" s="1086"/>
      <c r="Z75" s="1046"/>
    </row>
    <row r="76" spans="1:26" ht="15" hidden="1" customHeight="1" x14ac:dyDescent="0.2">
      <c r="A76" s="1315"/>
      <c r="B76" s="1072"/>
      <c r="C76" s="413"/>
      <c r="D76" s="414"/>
      <c r="E76" s="415"/>
      <c r="F76" s="534"/>
      <c r="G76" s="534"/>
      <c r="H76" s="1073"/>
      <c r="I76" s="417"/>
      <c r="J76" s="418"/>
      <c r="K76" s="417"/>
      <c r="L76" s="419"/>
      <c r="M76" s="355"/>
      <c r="N76" s="353"/>
      <c r="O76" s="356"/>
      <c r="P76" s="516"/>
      <c r="Q76" s="357"/>
      <c r="X76" s="1086"/>
      <c r="Y76" s="1086"/>
      <c r="Z76" s="1046"/>
    </row>
    <row r="77" spans="1:26" ht="15" hidden="1" customHeight="1" x14ac:dyDescent="0.2">
      <c r="A77" s="1315"/>
      <c r="B77" s="420"/>
      <c r="C77" s="403"/>
      <c r="D77" s="401"/>
      <c r="E77" s="402"/>
      <c r="F77" s="530"/>
      <c r="G77" s="530"/>
      <c r="H77" s="609"/>
      <c r="I77" s="362"/>
      <c r="J77" s="418"/>
      <c r="K77" s="362"/>
      <c r="L77" s="419"/>
      <c r="M77" s="355"/>
      <c r="N77" s="361"/>
      <c r="O77" s="356"/>
      <c r="P77" s="516"/>
      <c r="Q77" s="357"/>
      <c r="X77" s="1086"/>
      <c r="Y77" s="1086"/>
      <c r="Z77" s="1046"/>
    </row>
    <row r="78" spans="1:26" ht="15" hidden="1" customHeight="1" x14ac:dyDescent="0.2">
      <c r="A78" s="1315"/>
      <c r="B78" s="849"/>
      <c r="C78" s="403"/>
      <c r="D78" s="401"/>
      <c r="E78" s="402"/>
      <c r="F78" s="530"/>
      <c r="G78" s="530"/>
      <c r="H78" s="609"/>
      <c r="I78" s="362"/>
      <c r="J78" s="418"/>
      <c r="K78" s="362"/>
      <c r="L78" s="419"/>
      <c r="M78" s="355"/>
      <c r="N78" s="361"/>
      <c r="O78" s="356"/>
      <c r="P78" s="516"/>
      <c r="Q78" s="357"/>
      <c r="X78" s="1086"/>
      <c r="Y78" s="1086"/>
      <c r="Z78" s="1046"/>
    </row>
    <row r="79" spans="1:26" ht="15" hidden="1" customHeight="1" x14ac:dyDescent="0.2">
      <c r="A79" s="1315"/>
      <c r="B79" s="420"/>
      <c r="C79" s="403"/>
      <c r="D79" s="401"/>
      <c r="E79" s="402"/>
      <c r="F79" s="530"/>
      <c r="G79" s="530"/>
      <c r="H79" s="609"/>
      <c r="I79" s="362"/>
      <c r="J79" s="418"/>
      <c r="K79" s="362"/>
      <c r="L79" s="419"/>
      <c r="M79" s="355"/>
      <c r="N79" s="361"/>
      <c r="O79" s="356"/>
      <c r="P79" s="516"/>
      <c r="Q79" s="357"/>
      <c r="X79" s="1086"/>
      <c r="Y79" s="1086"/>
      <c r="Z79" s="1046"/>
    </row>
    <row r="80" spans="1:26" ht="15" hidden="1" customHeight="1" thickBot="1" x14ac:dyDescent="0.25">
      <c r="A80" s="1316"/>
      <c r="B80" s="1067"/>
      <c r="C80" s="409"/>
      <c r="D80" s="407"/>
      <c r="E80" s="408"/>
      <c r="F80" s="531"/>
      <c r="G80" s="531"/>
      <c r="H80" s="610"/>
      <c r="I80" s="371"/>
      <c r="J80" s="410"/>
      <c r="K80" s="371"/>
      <c r="L80" s="372"/>
      <c r="M80" s="851"/>
      <c r="N80" s="370"/>
      <c r="O80" s="356"/>
      <c r="P80" s="516"/>
      <c r="Q80" s="357"/>
      <c r="X80" s="1086"/>
      <c r="Y80" s="1086"/>
      <c r="Z80" s="1046"/>
    </row>
    <row r="81" spans="1:26" ht="15" customHeight="1" x14ac:dyDescent="0.2">
      <c r="A81" s="376"/>
      <c r="B81" s="852"/>
      <c r="C81" s="413"/>
      <c r="D81" s="414"/>
      <c r="E81" s="415"/>
      <c r="F81" s="534"/>
      <c r="G81" s="534"/>
      <c r="H81" s="1073"/>
      <c r="I81" s="417"/>
      <c r="J81" s="418"/>
      <c r="K81" s="417"/>
      <c r="L81" s="419"/>
      <c r="M81" s="355"/>
      <c r="N81" s="418"/>
      <c r="O81" s="356"/>
      <c r="P81" s="516"/>
      <c r="Q81" s="357"/>
      <c r="X81" s="1086"/>
      <c r="Y81" s="1086"/>
      <c r="Z81" s="1046"/>
    </row>
    <row r="82" spans="1:26" ht="15" customHeight="1" x14ac:dyDescent="0.2">
      <c r="A82" s="393"/>
      <c r="B82" s="435"/>
      <c r="C82" s="403"/>
      <c r="D82" s="401"/>
      <c r="E82" s="402"/>
      <c r="F82" s="530"/>
      <c r="G82" s="530"/>
      <c r="H82" s="609"/>
      <c r="I82" s="362"/>
      <c r="J82" s="418"/>
      <c r="K82" s="362"/>
      <c r="L82" s="419"/>
      <c r="M82" s="355"/>
      <c r="N82" s="361"/>
      <c r="O82" s="356"/>
      <c r="P82" s="516"/>
      <c r="Q82" s="357"/>
      <c r="X82" s="1086"/>
      <c r="Y82" s="1086"/>
      <c r="Z82" s="1046"/>
    </row>
    <row r="83" spans="1:26" ht="15" customHeight="1" x14ac:dyDescent="0.2">
      <c r="A83" s="1317"/>
      <c r="B83" s="420"/>
      <c r="C83" s="403"/>
      <c r="D83" s="401"/>
      <c r="E83" s="402"/>
      <c r="F83" s="530"/>
      <c r="G83" s="530"/>
      <c r="H83" s="609"/>
      <c r="I83" s="362"/>
      <c r="J83" s="418"/>
      <c r="K83" s="362"/>
      <c r="L83" s="419"/>
      <c r="M83" s="355"/>
      <c r="N83" s="361"/>
      <c r="O83" s="356"/>
      <c r="P83" s="516"/>
      <c r="Q83" s="357"/>
      <c r="X83" s="1086"/>
      <c r="Y83" s="1086"/>
      <c r="Z83" s="1046"/>
    </row>
    <row r="84" spans="1:26" ht="15" customHeight="1" x14ac:dyDescent="0.2">
      <c r="A84" s="1317"/>
      <c r="B84" s="435"/>
      <c r="C84" s="403"/>
      <c r="D84" s="401"/>
      <c r="E84" s="402"/>
      <c r="F84" s="530"/>
      <c r="G84" s="530"/>
      <c r="H84" s="609"/>
      <c r="I84" s="362"/>
      <c r="J84" s="418"/>
      <c r="K84" s="362"/>
      <c r="L84" s="419"/>
      <c r="M84" s="355"/>
      <c r="N84" s="361"/>
      <c r="O84" s="356"/>
      <c r="P84" s="516"/>
      <c r="Q84" s="357"/>
      <c r="X84" s="1086"/>
      <c r="Y84" s="1086"/>
      <c r="Z84" s="1046"/>
    </row>
    <row r="85" spans="1:26" ht="15" customHeight="1" x14ac:dyDescent="0.2">
      <c r="A85" s="1317"/>
      <c r="B85" s="420"/>
      <c r="C85" s="403"/>
      <c r="D85" s="401"/>
      <c r="E85" s="402"/>
      <c r="F85" s="530"/>
      <c r="G85" s="530"/>
      <c r="H85" s="609"/>
      <c r="I85" s="362"/>
      <c r="J85" s="418"/>
      <c r="K85" s="362"/>
      <c r="L85" s="419"/>
      <c r="M85" s="355"/>
      <c r="N85" s="361"/>
      <c r="O85" s="356"/>
      <c r="P85" s="516"/>
      <c r="Q85" s="357"/>
      <c r="X85" s="1086"/>
      <c r="Y85" s="1086"/>
      <c r="Z85" s="1046"/>
    </row>
    <row r="86" spans="1:26" ht="15" customHeight="1" x14ac:dyDescent="0.2">
      <c r="A86" s="1317"/>
      <c r="B86" s="435"/>
      <c r="C86" s="403"/>
      <c r="D86" s="401"/>
      <c r="E86" s="402"/>
      <c r="F86" s="532"/>
      <c r="G86" s="532"/>
      <c r="H86" s="854"/>
      <c r="I86" s="362"/>
      <c r="J86" s="418"/>
      <c r="K86" s="362"/>
      <c r="L86" s="419"/>
      <c r="M86" s="355"/>
      <c r="N86" s="361"/>
      <c r="O86" s="356"/>
      <c r="P86" s="516"/>
      <c r="Q86" s="357"/>
      <c r="X86" s="1086"/>
      <c r="Y86" s="1086"/>
      <c r="Z86" s="1046"/>
    </row>
    <row r="87" spans="1:26" ht="15" customHeight="1" x14ac:dyDescent="0.2">
      <c r="A87" s="1317"/>
      <c r="B87" s="435"/>
      <c r="C87" s="403"/>
      <c r="D87" s="401"/>
      <c r="E87" s="402"/>
      <c r="F87" s="530"/>
      <c r="G87" s="530"/>
      <c r="H87" s="609"/>
      <c r="I87" s="362"/>
      <c r="J87" s="418"/>
      <c r="K87" s="362"/>
      <c r="L87" s="419"/>
      <c r="M87" s="355"/>
      <c r="N87" s="361"/>
      <c r="O87" s="356"/>
      <c r="P87" s="516"/>
      <c r="Q87" s="357"/>
      <c r="X87" s="1086"/>
      <c r="Y87" s="1086"/>
      <c r="Z87" s="1046"/>
    </row>
    <row r="88" spans="1:26" ht="15" customHeight="1" x14ac:dyDescent="0.2">
      <c r="A88" s="1317"/>
      <c r="B88" s="435"/>
      <c r="C88" s="403"/>
      <c r="D88" s="401"/>
      <c r="E88" s="402"/>
      <c r="F88" s="530"/>
      <c r="G88" s="530"/>
      <c r="H88" s="609"/>
      <c r="I88" s="362"/>
      <c r="J88" s="418"/>
      <c r="K88" s="362"/>
      <c r="L88" s="419"/>
      <c r="M88" s="355"/>
      <c r="N88" s="361"/>
      <c r="O88" s="356"/>
      <c r="P88" s="516"/>
      <c r="Q88" s="357"/>
      <c r="X88" s="1086"/>
      <c r="Y88" s="1086"/>
      <c r="Z88" s="1046"/>
    </row>
    <row r="89" spans="1:26" ht="15" customHeight="1" x14ac:dyDescent="0.2">
      <c r="A89" s="1317"/>
      <c r="B89" s="435"/>
      <c r="C89" s="403"/>
      <c r="D89" s="401"/>
      <c r="E89" s="402"/>
      <c r="F89" s="530"/>
      <c r="G89" s="530"/>
      <c r="H89" s="609"/>
      <c r="I89" s="362"/>
      <c r="J89" s="418"/>
      <c r="K89" s="362"/>
      <c r="L89" s="419"/>
      <c r="M89" s="355"/>
      <c r="N89" s="361"/>
      <c r="O89" s="356"/>
      <c r="P89" s="516"/>
      <c r="Q89" s="357"/>
      <c r="X89" s="1086"/>
      <c r="Y89" s="1086"/>
      <c r="Z89" s="1046"/>
    </row>
    <row r="90" spans="1:26" ht="15" customHeight="1" x14ac:dyDescent="0.2">
      <c r="A90" s="1317"/>
      <c r="B90" s="420"/>
      <c r="C90" s="403"/>
      <c r="D90" s="401"/>
      <c r="E90" s="402"/>
      <c r="F90" s="530"/>
      <c r="G90" s="530"/>
      <c r="H90" s="609"/>
      <c r="I90" s="362"/>
      <c r="J90" s="418"/>
      <c r="K90" s="362"/>
      <c r="L90" s="419"/>
      <c r="M90" s="355"/>
      <c r="N90" s="361"/>
      <c r="O90" s="356"/>
      <c r="P90" s="516"/>
      <c r="Q90" s="357"/>
      <c r="X90" s="1086"/>
      <c r="Y90" s="1086"/>
      <c r="Z90" s="1046"/>
    </row>
    <row r="91" spans="1:26" ht="15" customHeight="1" x14ac:dyDescent="0.2">
      <c r="A91" s="1317"/>
      <c r="B91" s="435"/>
      <c r="C91" s="403"/>
      <c r="D91" s="401"/>
      <c r="E91" s="402"/>
      <c r="F91" s="530"/>
      <c r="G91" s="530"/>
      <c r="H91" s="609"/>
      <c r="I91" s="362"/>
      <c r="J91" s="418"/>
      <c r="K91" s="362"/>
      <c r="L91" s="419"/>
      <c r="M91" s="355"/>
      <c r="N91" s="361"/>
      <c r="O91" s="356"/>
      <c r="P91" s="516"/>
      <c r="Q91" s="357"/>
      <c r="X91" s="1086"/>
      <c r="Y91" s="1086"/>
      <c r="Z91" s="1046"/>
    </row>
    <row r="92" spans="1:26" ht="15" customHeight="1" x14ac:dyDescent="0.2">
      <c r="A92" s="1317"/>
      <c r="B92" s="420"/>
      <c r="C92" s="403"/>
      <c r="D92" s="401"/>
      <c r="E92" s="402"/>
      <c r="F92" s="530"/>
      <c r="G92" s="530"/>
      <c r="H92" s="609"/>
      <c r="I92" s="362"/>
      <c r="J92" s="418"/>
      <c r="K92" s="362"/>
      <c r="L92" s="419"/>
      <c r="M92" s="355"/>
      <c r="N92" s="361"/>
      <c r="O92" s="356"/>
      <c r="P92" s="516"/>
      <c r="Q92" s="357"/>
      <c r="X92" s="1086"/>
      <c r="Y92" s="1086"/>
      <c r="Z92" s="1046"/>
    </row>
    <row r="93" spans="1:26" ht="15" customHeight="1" x14ac:dyDescent="0.2">
      <c r="A93" s="1317"/>
      <c r="B93" s="420"/>
      <c r="C93" s="403"/>
      <c r="D93" s="401"/>
      <c r="E93" s="402"/>
      <c r="F93" s="530"/>
      <c r="G93" s="530"/>
      <c r="H93" s="609"/>
      <c r="I93" s="362"/>
      <c r="J93" s="418"/>
      <c r="K93" s="362"/>
      <c r="L93" s="419"/>
      <c r="M93" s="355"/>
      <c r="N93" s="361"/>
      <c r="O93" s="356"/>
      <c r="P93" s="516"/>
      <c r="Q93" s="357"/>
      <c r="X93" s="1086"/>
      <c r="Y93" s="1086"/>
      <c r="Z93" s="1046"/>
    </row>
    <row r="94" spans="1:26" ht="15" customHeight="1" x14ac:dyDescent="0.2">
      <c r="A94" s="1317"/>
      <c r="B94" s="420"/>
      <c r="C94" s="403"/>
      <c r="D94" s="401"/>
      <c r="E94" s="402"/>
      <c r="F94" s="530"/>
      <c r="G94" s="530"/>
      <c r="H94" s="609"/>
      <c r="I94" s="362"/>
      <c r="J94" s="418"/>
      <c r="K94" s="362"/>
      <c r="L94" s="419"/>
      <c r="M94" s="355"/>
      <c r="N94" s="361"/>
      <c r="O94" s="356"/>
      <c r="P94" s="516"/>
      <c r="Q94" s="357"/>
      <c r="X94" s="1086"/>
      <c r="Y94" s="1086"/>
      <c r="Z94" s="1046"/>
    </row>
    <row r="95" spans="1:26" ht="15" customHeight="1" x14ac:dyDescent="0.2">
      <c r="A95" s="1317"/>
      <c r="B95" s="420"/>
      <c r="C95" s="403"/>
      <c r="D95" s="401"/>
      <c r="E95" s="402"/>
      <c r="F95" s="530"/>
      <c r="G95" s="530"/>
      <c r="H95" s="609"/>
      <c r="I95" s="362"/>
      <c r="J95" s="418"/>
      <c r="K95" s="362"/>
      <c r="L95" s="419"/>
      <c r="M95" s="355"/>
      <c r="N95" s="361"/>
      <c r="O95" s="356"/>
      <c r="P95" s="516"/>
      <c r="Q95" s="357"/>
      <c r="X95" s="1086"/>
      <c r="Y95" s="1086"/>
      <c r="Z95" s="1046"/>
    </row>
    <row r="96" spans="1:26" ht="15" customHeight="1" thickBot="1" x14ac:dyDescent="0.25">
      <c r="A96" s="1318"/>
      <c r="B96" s="1067"/>
      <c r="C96" s="409"/>
      <c r="D96" s="407"/>
      <c r="E96" s="408"/>
      <c r="F96" s="531"/>
      <c r="G96" s="531"/>
      <c r="H96" s="610"/>
      <c r="I96" s="371"/>
      <c r="J96" s="410"/>
      <c r="K96" s="371"/>
      <c r="L96" s="372"/>
      <c r="M96" s="851"/>
      <c r="N96" s="370"/>
      <c r="O96" s="426"/>
      <c r="P96" s="796"/>
      <c r="Q96" s="515"/>
      <c r="X96" s="1086"/>
      <c r="Y96" s="1086"/>
      <c r="Z96" s="1046"/>
    </row>
    <row r="97" spans="1:26" ht="15" customHeight="1" x14ac:dyDescent="0.2">
      <c r="A97" s="376"/>
      <c r="B97" s="852"/>
      <c r="C97" s="413"/>
      <c r="D97" s="414"/>
      <c r="E97" s="415"/>
      <c r="F97" s="534"/>
      <c r="G97" s="534"/>
      <c r="H97" s="1073"/>
      <c r="I97" s="417"/>
      <c r="J97" s="418"/>
      <c r="K97" s="417"/>
      <c r="L97" s="419"/>
      <c r="M97" s="1143"/>
      <c r="N97" s="353"/>
      <c r="O97" s="356"/>
      <c r="P97" s="516"/>
      <c r="Q97" s="357"/>
      <c r="X97" s="1086"/>
      <c r="Y97" s="1086"/>
      <c r="Z97" s="1046"/>
    </row>
    <row r="98" spans="1:26" ht="15" customHeight="1" x14ac:dyDescent="0.2">
      <c r="A98" s="436"/>
      <c r="B98" s="437"/>
      <c r="C98" s="403"/>
      <c r="D98" s="401"/>
      <c r="E98" s="402"/>
      <c r="F98" s="530"/>
      <c r="G98" s="530"/>
      <c r="H98" s="609"/>
      <c r="I98" s="362"/>
      <c r="J98" s="418"/>
      <c r="K98" s="362"/>
      <c r="L98" s="419"/>
      <c r="M98" s="355"/>
      <c r="N98" s="361"/>
      <c r="O98" s="356"/>
      <c r="P98" s="516"/>
      <c r="Q98" s="357"/>
      <c r="X98" s="1086"/>
      <c r="Y98" s="1086"/>
      <c r="Z98" s="1046"/>
    </row>
    <row r="99" spans="1:26" ht="15" customHeight="1" x14ac:dyDescent="0.2">
      <c r="A99" s="1312"/>
      <c r="B99" s="437"/>
      <c r="C99" s="403"/>
      <c r="D99" s="401"/>
      <c r="E99" s="402"/>
      <c r="F99" s="530"/>
      <c r="G99" s="530"/>
      <c r="H99" s="609"/>
      <c r="I99" s="362"/>
      <c r="J99" s="418"/>
      <c r="K99" s="362"/>
      <c r="L99" s="419"/>
      <c r="M99" s="355"/>
      <c r="N99" s="361"/>
      <c r="O99" s="356"/>
      <c r="P99" s="516"/>
      <c r="Q99" s="357"/>
      <c r="X99" s="1086"/>
      <c r="Y99" s="1086"/>
      <c r="Z99" s="1046"/>
    </row>
    <row r="100" spans="1:26" ht="15" customHeight="1" x14ac:dyDescent="0.2">
      <c r="A100" s="1312"/>
      <c r="B100" s="437"/>
      <c r="C100" s="403"/>
      <c r="D100" s="401"/>
      <c r="E100" s="402"/>
      <c r="F100" s="530"/>
      <c r="G100" s="530"/>
      <c r="H100" s="609"/>
      <c r="I100" s="362"/>
      <c r="J100" s="418"/>
      <c r="K100" s="362"/>
      <c r="L100" s="419"/>
      <c r="M100" s="355"/>
      <c r="N100" s="361"/>
      <c r="O100" s="356"/>
      <c r="P100" s="516"/>
      <c r="Q100" s="357"/>
      <c r="X100" s="1086"/>
      <c r="Y100" s="1086"/>
      <c r="Z100" s="1046"/>
    </row>
    <row r="101" spans="1:26" ht="15" customHeight="1" x14ac:dyDescent="0.2">
      <c r="A101" s="1312"/>
      <c r="B101" s="849"/>
      <c r="C101" s="403"/>
      <c r="D101" s="401"/>
      <c r="E101" s="402"/>
      <c r="F101" s="530"/>
      <c r="G101" s="530"/>
      <c r="H101" s="609"/>
      <c r="I101" s="362"/>
      <c r="J101" s="418"/>
      <c r="K101" s="362"/>
      <c r="L101" s="419"/>
      <c r="M101" s="355"/>
      <c r="N101" s="361"/>
      <c r="O101" s="356"/>
      <c r="P101" s="516"/>
      <c r="Q101" s="357"/>
      <c r="X101" s="1086"/>
      <c r="Y101" s="1086"/>
      <c r="Z101" s="1046"/>
    </row>
    <row r="102" spans="1:26" ht="15" customHeight="1" x14ac:dyDescent="0.2">
      <c r="A102" s="1312"/>
      <c r="B102" s="435"/>
      <c r="C102" s="403"/>
      <c r="D102" s="401"/>
      <c r="E102" s="402"/>
      <c r="F102" s="530"/>
      <c r="G102" s="530"/>
      <c r="H102" s="609"/>
      <c r="I102" s="362"/>
      <c r="J102" s="418"/>
      <c r="K102" s="362"/>
      <c r="L102" s="419"/>
      <c r="M102" s="355"/>
      <c r="N102" s="361"/>
      <c r="O102" s="356"/>
      <c r="P102" s="516"/>
      <c r="Q102" s="357"/>
      <c r="X102" s="1086"/>
      <c r="Y102" s="1086"/>
      <c r="Z102" s="1046"/>
    </row>
    <row r="103" spans="1:26" ht="15" customHeight="1" x14ac:dyDescent="0.2">
      <c r="A103" s="1312"/>
      <c r="B103" s="437"/>
      <c r="C103" s="403"/>
      <c r="D103" s="401"/>
      <c r="E103" s="402"/>
      <c r="F103" s="530"/>
      <c r="G103" s="530"/>
      <c r="H103" s="609"/>
      <c r="I103" s="362"/>
      <c r="J103" s="418"/>
      <c r="K103" s="362"/>
      <c r="L103" s="419"/>
      <c r="M103" s="355"/>
      <c r="N103" s="361"/>
      <c r="O103" s="356"/>
      <c r="P103" s="516"/>
      <c r="Q103" s="357"/>
      <c r="X103" s="1086"/>
      <c r="Y103" s="1086"/>
      <c r="Z103" s="1046"/>
    </row>
    <row r="104" spans="1:26" ht="15" customHeight="1" x14ac:dyDescent="0.2">
      <c r="A104" s="1312"/>
      <c r="B104" s="437"/>
      <c r="C104" s="403"/>
      <c r="D104" s="401"/>
      <c r="E104" s="402"/>
      <c r="F104" s="530"/>
      <c r="G104" s="530"/>
      <c r="H104" s="609"/>
      <c r="I104" s="362"/>
      <c r="J104" s="418"/>
      <c r="K104" s="362"/>
      <c r="L104" s="419"/>
      <c r="M104" s="355"/>
      <c r="N104" s="361"/>
      <c r="O104" s="356"/>
      <c r="P104" s="516"/>
      <c r="Q104" s="357"/>
      <c r="X104" s="1086"/>
      <c r="Y104" s="1086"/>
      <c r="Z104" s="1046"/>
    </row>
    <row r="105" spans="1:26" ht="15" customHeight="1" x14ac:dyDescent="0.2">
      <c r="A105" s="1312"/>
      <c r="B105" s="437"/>
      <c r="C105" s="403"/>
      <c r="D105" s="401"/>
      <c r="E105" s="402"/>
      <c r="F105" s="530"/>
      <c r="G105" s="530"/>
      <c r="H105" s="609"/>
      <c r="I105" s="362"/>
      <c r="J105" s="418"/>
      <c r="K105" s="362"/>
      <c r="L105" s="419"/>
      <c r="M105" s="355"/>
      <c r="N105" s="361"/>
      <c r="O105" s="356"/>
      <c r="P105" s="516"/>
      <c r="Q105" s="357"/>
      <c r="X105" s="1086"/>
      <c r="Y105" s="1086"/>
      <c r="Z105" s="1046"/>
    </row>
    <row r="106" spans="1:26" ht="15" customHeight="1" x14ac:dyDescent="0.2">
      <c r="A106" s="1312"/>
      <c r="B106" s="437"/>
      <c r="C106" s="403"/>
      <c r="D106" s="401"/>
      <c r="E106" s="402"/>
      <c r="F106" s="530"/>
      <c r="G106" s="530"/>
      <c r="H106" s="609"/>
      <c r="I106" s="362"/>
      <c r="J106" s="418"/>
      <c r="K106" s="362"/>
      <c r="L106" s="419"/>
      <c r="M106" s="355"/>
      <c r="N106" s="361"/>
      <c r="O106" s="356"/>
      <c r="P106" s="516"/>
      <c r="Q106" s="357"/>
      <c r="X106" s="1086"/>
      <c r="Y106" s="1086"/>
      <c r="Z106" s="1046"/>
    </row>
    <row r="107" spans="1:26" ht="15" customHeight="1" x14ac:dyDescent="0.2">
      <c r="A107" s="1312"/>
      <c r="B107" s="437"/>
      <c r="C107" s="403"/>
      <c r="D107" s="401"/>
      <c r="E107" s="402"/>
      <c r="F107" s="530"/>
      <c r="G107" s="530"/>
      <c r="H107" s="609"/>
      <c r="I107" s="362"/>
      <c r="J107" s="418"/>
      <c r="K107" s="362"/>
      <c r="L107" s="419"/>
      <c r="M107" s="355"/>
      <c r="N107" s="361"/>
      <c r="O107" s="356"/>
      <c r="P107" s="516"/>
      <c r="Q107" s="357"/>
      <c r="X107" s="1086"/>
      <c r="Y107" s="1086"/>
      <c r="Z107" s="1046"/>
    </row>
    <row r="108" spans="1:26" ht="15" customHeight="1" x14ac:dyDescent="0.2">
      <c r="A108" s="1312"/>
      <c r="B108" s="849"/>
      <c r="C108" s="403"/>
      <c r="D108" s="401"/>
      <c r="E108" s="402"/>
      <c r="F108" s="530"/>
      <c r="G108" s="530"/>
      <c r="H108" s="609"/>
      <c r="I108" s="362"/>
      <c r="J108" s="418"/>
      <c r="K108" s="362"/>
      <c r="L108" s="419"/>
      <c r="M108" s="355"/>
      <c r="N108" s="361"/>
      <c r="O108" s="356"/>
      <c r="P108" s="516"/>
      <c r="Q108" s="357"/>
      <c r="X108" s="1086"/>
      <c r="Y108" s="1086"/>
      <c r="Z108" s="1046"/>
    </row>
    <row r="109" spans="1:26" ht="15" customHeight="1" x14ac:dyDescent="0.2">
      <c r="A109" s="1312"/>
      <c r="B109" s="437"/>
      <c r="C109" s="403"/>
      <c r="D109" s="401"/>
      <c r="E109" s="402"/>
      <c r="F109" s="530"/>
      <c r="G109" s="530"/>
      <c r="H109" s="609"/>
      <c r="I109" s="362"/>
      <c r="J109" s="418"/>
      <c r="K109" s="362"/>
      <c r="L109" s="419"/>
      <c r="M109" s="355"/>
      <c r="N109" s="361"/>
      <c r="O109" s="356"/>
      <c r="P109" s="516"/>
      <c r="Q109" s="357"/>
      <c r="X109" s="1086"/>
      <c r="Y109" s="1086"/>
      <c r="Z109" s="1046"/>
    </row>
    <row r="110" spans="1:26" ht="15" customHeight="1" x14ac:dyDescent="0.2">
      <c r="A110" s="1312"/>
      <c r="B110" s="849"/>
      <c r="C110" s="403"/>
      <c r="D110" s="401"/>
      <c r="E110" s="402"/>
      <c r="F110" s="530"/>
      <c r="G110" s="530"/>
      <c r="H110" s="609"/>
      <c r="I110" s="362"/>
      <c r="J110" s="418"/>
      <c r="K110" s="362"/>
      <c r="L110" s="419"/>
      <c r="M110" s="355"/>
      <c r="N110" s="361"/>
      <c r="O110" s="356"/>
      <c r="P110" s="516"/>
      <c r="Q110" s="357"/>
      <c r="X110" s="1086"/>
      <c r="Y110" s="1086"/>
      <c r="Z110" s="1046"/>
    </row>
    <row r="111" spans="1:26" ht="15" customHeight="1" x14ac:dyDescent="0.2">
      <c r="A111" s="1312"/>
      <c r="B111" s="437"/>
      <c r="C111" s="403"/>
      <c r="D111" s="401"/>
      <c r="E111" s="402"/>
      <c r="F111" s="530"/>
      <c r="G111" s="530"/>
      <c r="H111" s="609"/>
      <c r="I111" s="362"/>
      <c r="J111" s="418"/>
      <c r="K111" s="362"/>
      <c r="L111" s="419"/>
      <c r="M111" s="355"/>
      <c r="N111" s="361"/>
      <c r="O111" s="356"/>
      <c r="P111" s="516"/>
      <c r="Q111" s="357"/>
      <c r="X111" s="1086"/>
      <c r="Y111" s="1086"/>
      <c r="Z111" s="1046"/>
    </row>
    <row r="112" spans="1:26" ht="15" customHeight="1" thickBot="1" x14ac:dyDescent="0.25">
      <c r="A112" s="1313"/>
      <c r="B112" s="849"/>
      <c r="C112" s="409"/>
      <c r="D112" s="407"/>
      <c r="E112" s="408"/>
      <c r="F112" s="531"/>
      <c r="G112" s="531"/>
      <c r="H112" s="610"/>
      <c r="I112" s="371"/>
      <c r="J112" s="418"/>
      <c r="K112" s="371"/>
      <c r="L112" s="419"/>
      <c r="M112" s="851"/>
      <c r="N112" s="370"/>
      <c r="O112" s="426"/>
      <c r="P112" s="796"/>
      <c r="Q112" s="515"/>
      <c r="X112" s="1086"/>
      <c r="Y112" s="1086"/>
      <c r="Z112" s="1046"/>
    </row>
    <row r="113" spans="1:26" ht="15" customHeight="1" x14ac:dyDescent="0.2">
      <c r="A113" s="376"/>
      <c r="B113" s="1074"/>
      <c r="C113" s="429"/>
      <c r="D113" s="430"/>
      <c r="E113" s="431"/>
      <c r="F113" s="1075"/>
      <c r="G113" s="1075"/>
      <c r="H113" s="1076"/>
      <c r="I113" s="432"/>
      <c r="J113" s="433"/>
      <c r="K113" s="432"/>
      <c r="L113" s="434"/>
      <c r="M113" s="356"/>
      <c r="N113" s="353"/>
      <c r="O113" s="356"/>
      <c r="P113" s="516"/>
      <c r="Q113" s="357"/>
      <c r="X113" s="1086"/>
      <c r="Y113" s="1086"/>
      <c r="Z113" s="1046"/>
    </row>
    <row r="114" spans="1:26" ht="15" customHeight="1" x14ac:dyDescent="0.2">
      <c r="A114" s="393"/>
      <c r="B114" s="435"/>
      <c r="C114" s="403"/>
      <c r="D114" s="401"/>
      <c r="E114" s="402"/>
      <c r="F114" s="532"/>
      <c r="G114" s="532"/>
      <c r="H114" s="854"/>
      <c r="I114" s="362"/>
      <c r="J114" s="418"/>
      <c r="K114" s="362"/>
      <c r="L114" s="419"/>
      <c r="M114" s="355"/>
      <c r="N114" s="361"/>
      <c r="O114" s="356"/>
      <c r="P114" s="516"/>
      <c r="Q114" s="357"/>
      <c r="X114" s="1086"/>
      <c r="Y114" s="1086"/>
      <c r="Z114" s="1046"/>
    </row>
    <row r="115" spans="1:26" ht="15" customHeight="1" thickBot="1" x14ac:dyDescent="0.25">
      <c r="A115" s="821"/>
      <c r="B115" s="1071"/>
      <c r="C115" s="409"/>
      <c r="D115" s="407"/>
      <c r="E115" s="408"/>
      <c r="F115" s="531"/>
      <c r="G115" s="531"/>
      <c r="H115" s="610"/>
      <c r="I115" s="371"/>
      <c r="J115" s="1077"/>
      <c r="K115" s="371"/>
      <c r="L115" s="1078"/>
      <c r="M115" s="850"/>
      <c r="N115" s="370"/>
      <c r="O115" s="426"/>
      <c r="P115" s="796"/>
      <c r="Q115" s="515"/>
      <c r="X115" s="1086"/>
      <c r="Y115" s="1086"/>
      <c r="Z115" s="1046"/>
    </row>
  </sheetData>
  <mergeCells count="20">
    <mergeCell ref="A83:A96"/>
    <mergeCell ref="A99:A112"/>
    <mergeCell ref="K6:L6"/>
    <mergeCell ref="A17:A30"/>
    <mergeCell ref="A34:A48"/>
    <mergeCell ref="A51:A64"/>
    <mergeCell ref="A67:A80"/>
    <mergeCell ref="I6:J6"/>
    <mergeCell ref="M6:N6"/>
    <mergeCell ref="K2:O2"/>
    <mergeCell ref="A6:A7"/>
    <mergeCell ref="B6:B7"/>
    <mergeCell ref="C6:C7"/>
    <mergeCell ref="D6:D7"/>
    <mergeCell ref="E6:E7"/>
    <mergeCell ref="G6:G7"/>
    <mergeCell ref="H6:H7"/>
    <mergeCell ref="F6:F7"/>
    <mergeCell ref="O6:Q6"/>
    <mergeCell ref="B3:M3"/>
  </mergeCells>
  <phoneticPr fontId="65" type="noConversion"/>
  <pageMargins left="0.7" right="0.7" top="0.75" bottom="0.75" header="0.3" footer="0.3"/>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5058" r:id="rId4" name="Drop Down 2">
              <controlPr defaultSize="0" autoLine="0" autoPict="0">
                <anchor moveWithCells="1">
                  <from>
                    <xdr:col>13</xdr:col>
                    <xdr:colOff>66675</xdr:colOff>
                    <xdr:row>2</xdr:row>
                    <xdr:rowOff>352425</xdr:rowOff>
                  </from>
                  <to>
                    <xdr:col>16</xdr:col>
                    <xdr:colOff>428625</xdr:colOff>
                    <xdr:row>2</xdr:row>
                    <xdr:rowOff>571500</xdr:rowOff>
                  </to>
                </anchor>
              </controlPr>
            </control>
          </mc:Choice>
        </mc:AlternateContent>
        <mc:AlternateContent xmlns:mc="http://schemas.openxmlformats.org/markup-compatibility/2006">
          <mc:Choice Requires="x14">
            <control shapeId="45060" r:id="rId5" name="Drop Down 4">
              <controlPr defaultSize="0" autoLine="0" autoPict="0">
                <anchor moveWithCells="1">
                  <from>
                    <xdr:col>13</xdr:col>
                    <xdr:colOff>85725</xdr:colOff>
                    <xdr:row>2</xdr:row>
                    <xdr:rowOff>790575</xdr:rowOff>
                  </from>
                  <to>
                    <xdr:col>14</xdr:col>
                    <xdr:colOff>361950</xdr:colOff>
                    <xdr:row>2</xdr:row>
                    <xdr:rowOff>1000125</xdr:rowOff>
                  </to>
                </anchor>
              </controlPr>
            </control>
          </mc:Choice>
        </mc:AlternateContent>
        <mc:AlternateContent xmlns:mc="http://schemas.openxmlformats.org/markup-compatibility/2006">
          <mc:Choice Requires="x14">
            <control shapeId="45061" r:id="rId6" name="Drop Down 5">
              <controlPr defaultSize="0" autoLine="0" autoPict="0">
                <anchor moveWithCells="1">
                  <from>
                    <xdr:col>15</xdr:col>
                    <xdr:colOff>390525</xdr:colOff>
                    <xdr:row>2</xdr:row>
                    <xdr:rowOff>800100</xdr:rowOff>
                  </from>
                  <to>
                    <xdr:col>16</xdr:col>
                    <xdr:colOff>390525</xdr:colOff>
                    <xdr:row>2</xdr:row>
                    <xdr:rowOff>1000125</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5">
    <tabColor rgb="FFFF0000"/>
  </sheetPr>
  <dimension ref="A1:AA20"/>
  <sheetViews>
    <sheetView showGridLines="0" view="pageBreakPreview" zoomScale="70" zoomScaleNormal="100" zoomScaleSheetLayoutView="70" workbookViewId="0">
      <pane xSplit="1" ySplit="7" topLeftCell="B8" activePane="bottomRight" state="frozen"/>
      <selection pane="topRight"/>
      <selection pane="bottomLeft"/>
      <selection pane="bottomRight" activeCell="O12" sqref="O12:S16"/>
    </sheetView>
  </sheetViews>
  <sheetFormatPr defaultColWidth="11.42578125" defaultRowHeight="18" x14ac:dyDescent="0.25"/>
  <cols>
    <col min="1" max="1" width="38.7109375" style="3" customWidth="1"/>
    <col min="2" max="2" width="9.7109375" style="2" customWidth="1"/>
    <col min="3" max="3" width="9.85546875" style="2" customWidth="1"/>
    <col min="4" max="4" width="9.7109375" style="2" customWidth="1"/>
    <col min="5" max="5" width="16.7109375" style="2" customWidth="1"/>
    <col min="6" max="6" width="7.140625" style="2" customWidth="1"/>
    <col min="7" max="8" width="10.85546875" style="2" hidden="1" customWidth="1"/>
    <col min="9" max="9" width="11.28515625" style="2" customWidth="1"/>
    <col min="10" max="10" width="13.28515625" style="2" hidden="1" customWidth="1"/>
    <col min="11" max="11" width="11.5703125" style="4" customWidth="1"/>
    <col min="12" max="12" width="11.5703125" style="2" customWidth="1"/>
    <col min="13" max="13" width="15" style="5" customWidth="1"/>
    <col min="14" max="14" width="11.85546875" style="4" customWidth="1"/>
    <col min="15" max="15" width="14.85546875" style="56" customWidth="1"/>
    <col min="16" max="16" width="12.5703125" style="5" hidden="1" customWidth="1"/>
    <col min="17" max="17" width="15.140625" style="2" customWidth="1"/>
    <col min="18" max="18" width="17.5703125" style="2" customWidth="1"/>
    <col min="19" max="19" width="14" style="2" customWidth="1"/>
    <col min="23" max="24" width="14" style="2" customWidth="1"/>
    <col min="25" max="25" width="14" style="745" customWidth="1"/>
    <col min="26" max="26" width="12.7109375" style="953" customWidth="1"/>
    <col min="27" max="27" width="11.42578125" style="745" customWidth="1"/>
    <col min="28" max="29" width="11.42578125" style="2" customWidth="1"/>
    <col min="30" max="16384" width="11.42578125" style="2"/>
  </cols>
  <sheetData>
    <row r="1" spans="1:27" ht="26.25" x14ac:dyDescent="0.4">
      <c r="A1" s="75" t="s">
        <v>19</v>
      </c>
      <c r="N1" s="1140"/>
      <c r="O1" s="137"/>
      <c r="P1" s="261"/>
      <c r="Q1" s="134"/>
      <c r="R1" s="134"/>
      <c r="S1" s="134"/>
    </row>
    <row r="2" spans="1:27" s="27" customFormat="1" ht="26.25" x14ac:dyDescent="0.4">
      <c r="A2" s="75" t="s">
        <v>20</v>
      </c>
      <c r="K2" s="28"/>
      <c r="M2" s="29"/>
      <c r="N2" s="557"/>
      <c r="O2" s="557"/>
      <c r="P2" s="559"/>
      <c r="Q2" s="558"/>
      <c r="R2" s="558"/>
      <c r="Y2" s="1014"/>
      <c r="Z2" s="1016"/>
      <c r="AA2" s="1014"/>
    </row>
    <row r="3" spans="1:27" s="27" customFormat="1" ht="78.75" customHeight="1" x14ac:dyDescent="0.35">
      <c r="A3" s="791" t="str">
        <f>INDEX('Доставка по областям'!$A$2:$A$90,'ЛАЙТ Рязань'!Q5)</f>
        <v>Рязанская область</v>
      </c>
      <c r="B3" s="1373" t="str">
        <f>IFERROR(VLOOKUP(A3,'Доставка по областям'!$A$92:$B$107,2,0)," ")</f>
        <v xml:space="preserve"> </v>
      </c>
      <c r="C3" s="1373"/>
      <c r="D3" s="1373"/>
      <c r="E3" s="1373"/>
      <c r="F3" s="1373"/>
      <c r="G3" s="1373"/>
      <c r="H3" s="1373"/>
      <c r="I3" s="1373"/>
      <c r="J3" s="1373"/>
      <c r="K3" s="1373"/>
      <c r="L3" s="1373"/>
      <c r="M3" s="1373"/>
      <c r="N3" s="557"/>
      <c r="O3" s="557"/>
      <c r="P3" s="559"/>
      <c r="Q3" s="558"/>
      <c r="R3" s="558"/>
      <c r="Y3" s="1014"/>
      <c r="Z3" s="1016"/>
      <c r="AA3" s="1014"/>
    </row>
    <row r="4" spans="1:27" ht="18" customHeight="1" x14ac:dyDescent="0.25">
      <c r="A4" s="1128"/>
      <c r="B4" s="1128"/>
      <c r="C4" s="1128"/>
      <c r="D4" s="1128"/>
      <c r="E4" s="1128"/>
      <c r="F4" s="1128"/>
      <c r="G4" s="1128"/>
      <c r="H4" s="1128"/>
      <c r="I4" s="1128"/>
      <c r="J4" s="1128"/>
      <c r="K4" s="1128"/>
      <c r="L4" s="1128"/>
      <c r="M4" s="1128"/>
      <c r="N4" s="1128"/>
      <c r="O4" s="1128"/>
      <c r="P4" s="1128"/>
      <c r="Q4" s="1128"/>
      <c r="R4" s="1128"/>
      <c r="S4" s="1128"/>
      <c r="W4" s="782"/>
      <c r="X4" s="782"/>
      <c r="Y4" s="1047"/>
    </row>
    <row r="5" spans="1:27" s="3" customFormat="1" ht="18.75" customHeight="1" thickBot="1" x14ac:dyDescent="0.3">
      <c r="A5" s="1130">
        <f>ИзобоксDDP!A5</f>
        <v>0</v>
      </c>
      <c r="B5" s="1130"/>
      <c r="C5" s="1130"/>
      <c r="D5" s="1130"/>
      <c r="E5" s="1136"/>
      <c r="F5" s="1130"/>
      <c r="G5" s="1130"/>
      <c r="H5" s="1130"/>
      <c r="I5" s="1130"/>
      <c r="J5" s="1130"/>
      <c r="K5" s="1130"/>
      <c r="L5" s="1130"/>
      <c r="M5" s="1130"/>
      <c r="N5" s="1137"/>
      <c r="O5" s="1138"/>
      <c r="P5" s="1130"/>
      <c r="Q5" s="1130"/>
      <c r="R5" s="1130"/>
      <c r="S5" s="1139"/>
      <c r="W5" s="552"/>
      <c r="X5" s="552"/>
      <c r="Y5" s="1018"/>
      <c r="Z5" s="1019"/>
      <c r="AA5" s="1098"/>
    </row>
    <row r="6" spans="1:27" ht="72.75" customHeight="1" thickBot="1" x14ac:dyDescent="0.4">
      <c r="A6" s="1250" t="s">
        <v>0</v>
      </c>
      <c r="B6" s="1252" t="s">
        <v>1</v>
      </c>
      <c r="C6" s="1254" t="s">
        <v>2</v>
      </c>
      <c r="D6" s="1256" t="s">
        <v>3</v>
      </c>
      <c r="E6" s="1258" t="s">
        <v>88</v>
      </c>
      <c r="F6" s="1260" t="s">
        <v>36</v>
      </c>
      <c r="G6" s="1260" t="s">
        <v>57</v>
      </c>
      <c r="H6" s="114"/>
      <c r="I6" s="1260" t="s">
        <v>56</v>
      </c>
      <c r="J6" s="1260" t="s">
        <v>56</v>
      </c>
      <c r="K6" s="1264" t="s">
        <v>536</v>
      </c>
      <c r="L6" s="1265"/>
      <c r="M6" s="1266"/>
      <c r="N6" s="1264" t="s">
        <v>537</v>
      </c>
      <c r="O6" s="1386"/>
      <c r="P6" s="764"/>
      <c r="Q6" s="1264" t="s">
        <v>421</v>
      </c>
      <c r="R6" s="1265"/>
      <c r="S6" s="1266"/>
      <c r="W6" s="27"/>
      <c r="X6" s="27"/>
      <c r="Y6" s="1020"/>
    </row>
    <row r="7" spans="1:27" ht="67.5" customHeight="1" thickBot="1" x14ac:dyDescent="0.3">
      <c r="A7" s="1251"/>
      <c r="B7" s="1253"/>
      <c r="C7" s="1255"/>
      <c r="D7" s="1257"/>
      <c r="E7" s="1259"/>
      <c r="F7" s="1261"/>
      <c r="G7" s="1262"/>
      <c r="H7" s="763"/>
      <c r="I7" s="1263"/>
      <c r="J7" s="1263"/>
      <c r="K7" s="43" t="s">
        <v>5</v>
      </c>
      <c r="L7" s="54" t="s">
        <v>17</v>
      </c>
      <c r="M7" s="64" t="s">
        <v>18</v>
      </c>
      <c r="N7" s="477" t="s">
        <v>538</v>
      </c>
      <c r="O7" s="478" t="s">
        <v>539</v>
      </c>
      <c r="P7" s="447" t="s">
        <v>42</v>
      </c>
      <c r="Q7" s="765" t="s">
        <v>6</v>
      </c>
      <c r="R7" s="766" t="s">
        <v>18</v>
      </c>
      <c r="S7" s="470" t="s">
        <v>22</v>
      </c>
      <c r="T7" s="1216"/>
      <c r="W7" s="988"/>
      <c r="X7" s="988"/>
      <c r="Y7" s="1021"/>
      <c r="Z7" s="1019"/>
      <c r="AA7" s="1019"/>
    </row>
    <row r="8" spans="1:27" ht="22.5" customHeight="1" thickBot="1" x14ac:dyDescent="0.3">
      <c r="A8" s="1385" t="s">
        <v>540</v>
      </c>
      <c r="B8" s="801">
        <v>5000</v>
      </c>
      <c r="C8" s="10">
        <v>1200</v>
      </c>
      <c r="D8" s="11">
        <v>50</v>
      </c>
      <c r="E8" s="815">
        <v>437906</v>
      </c>
      <c r="F8" s="1189" t="s">
        <v>238</v>
      </c>
      <c r="G8" s="256"/>
      <c r="H8" s="124">
        <v>0</v>
      </c>
      <c r="I8" s="1184"/>
      <c r="J8" s="170" t="s">
        <v>87</v>
      </c>
      <c r="K8" s="131">
        <v>2</v>
      </c>
      <c r="L8" s="812">
        <f>B8*C8*K8/1000000</f>
        <v>12</v>
      </c>
      <c r="M8" s="612">
        <f>D8*L8/1000</f>
        <v>0.6</v>
      </c>
      <c r="N8" s="575">
        <v>165</v>
      </c>
      <c r="O8" s="802">
        <v>275</v>
      </c>
      <c r="P8" s="126"/>
      <c r="Q8" s="88">
        <f>IFERROR(M8*R8,"---")</f>
        <v>634.79999999999995</v>
      </c>
      <c r="R8" s="786">
        <f>IFERROR('Рулонная изоляция'!M8*(1-'Рулонная изоляция'!$Q$8-'Рулонная изоляция'!$Q$5)+'Рулонная изоляция'!$O$4,"нет")</f>
        <v>1058</v>
      </c>
      <c r="S8" s="101">
        <f>IFERROR(R8*D8/1000,"---")</f>
        <v>52.9</v>
      </c>
      <c r="T8" s="1221"/>
      <c r="W8" s="1084"/>
      <c r="X8" s="1084"/>
      <c r="Y8" s="1022"/>
    </row>
    <row r="9" spans="1:27" ht="22.5" customHeight="1" thickBot="1" x14ac:dyDescent="0.3">
      <c r="A9" s="1357"/>
      <c r="B9" s="806">
        <v>5000</v>
      </c>
      <c r="C9" s="16">
        <v>1200</v>
      </c>
      <c r="D9" s="17">
        <v>100</v>
      </c>
      <c r="E9" s="813">
        <v>437907</v>
      </c>
      <c r="F9" s="1190" t="s">
        <v>238</v>
      </c>
      <c r="G9" s="239">
        <v>322.58064516129031</v>
      </c>
      <c r="H9" s="258">
        <v>46.669653524492233</v>
      </c>
      <c r="I9" s="1185"/>
      <c r="J9" s="262" t="s">
        <v>87</v>
      </c>
      <c r="K9" s="128">
        <v>1</v>
      </c>
      <c r="L9" s="814">
        <f>B9*C9*K9/1000000</f>
        <v>6</v>
      </c>
      <c r="M9" s="308">
        <f>D9*L9/1000</f>
        <v>0.6</v>
      </c>
      <c r="N9" s="808">
        <v>165</v>
      </c>
      <c r="O9" s="809">
        <v>275</v>
      </c>
      <c r="P9" s="129"/>
      <c r="Q9" s="479">
        <f>IFERROR(M9*R9,"---")</f>
        <v>634.79999999999995</v>
      </c>
      <c r="R9" s="787">
        <f>IFERROR('Рулонная изоляция'!M9*(1-'Рулонная изоляция'!$Q$8-'Рулонная изоляция'!$Q$5)+'Рулонная изоляция'!$O$4,"нет")</f>
        <v>1058</v>
      </c>
      <c r="S9" s="102">
        <f>IFERROR(R9*D9/1000,"---")</f>
        <v>105.8</v>
      </c>
      <c r="T9" s="1221"/>
      <c r="W9" s="1084"/>
      <c r="X9" s="1084"/>
      <c r="Y9" s="1022"/>
    </row>
    <row r="10" spans="1:27" ht="18.75" thickBot="1" x14ac:dyDescent="0.3"/>
    <row r="11" spans="1:27" x14ac:dyDescent="0.25">
      <c r="A11" s="18"/>
      <c r="B11" s="134"/>
      <c r="C11" s="134"/>
      <c r="D11" s="134"/>
      <c r="E11" s="134"/>
      <c r="F11" s="134"/>
      <c r="G11" s="134"/>
      <c r="H11" s="134"/>
      <c r="I11" s="134"/>
      <c r="J11" s="165"/>
      <c r="K11" s="135"/>
      <c r="L11" s="134"/>
      <c r="M11" s="136"/>
      <c r="N11" s="135"/>
      <c r="O11" s="137"/>
      <c r="P11" s="134"/>
      <c r="Q11" s="261"/>
      <c r="R11" s="448"/>
      <c r="S11" s="448"/>
      <c r="W11" s="448"/>
      <c r="X11" s="448"/>
      <c r="Y11" s="1025"/>
    </row>
    <row r="12" spans="1:27" ht="18" customHeight="1" x14ac:dyDescent="0.25">
      <c r="A12" s="1" t="s">
        <v>7</v>
      </c>
      <c r="B12" s="91"/>
      <c r="C12" s="91"/>
      <c r="D12" s="91"/>
      <c r="E12" s="91"/>
      <c r="F12" s="91"/>
      <c r="G12" s="91"/>
      <c r="H12" s="91"/>
      <c r="I12" s="91"/>
      <c r="J12" s="91"/>
      <c r="K12" s="92"/>
      <c r="L12" s="91"/>
      <c r="M12" s="94"/>
      <c r="N12" s="92"/>
      <c r="O12" s="1275"/>
      <c r="P12" s="1275"/>
      <c r="Q12" s="1275"/>
      <c r="R12" s="1275"/>
      <c r="S12" s="1275"/>
      <c r="W12" s="1011"/>
      <c r="X12" s="1011"/>
      <c r="Y12" s="1048"/>
    </row>
    <row r="13" spans="1:27" ht="18" customHeight="1" x14ac:dyDescent="0.25">
      <c r="A13" s="471" t="s">
        <v>423</v>
      </c>
      <c r="B13" s="32"/>
      <c r="C13" s="32"/>
      <c r="D13" s="32"/>
      <c r="E13" s="32"/>
      <c r="F13" s="32"/>
      <c r="G13" s="32"/>
      <c r="H13" s="32"/>
      <c r="I13" s="32"/>
      <c r="J13" s="32"/>
      <c r="K13" s="33"/>
      <c r="L13" s="32"/>
      <c r="M13" s="34"/>
      <c r="N13" s="33"/>
      <c r="O13" s="1244"/>
      <c r="P13" s="1244"/>
      <c r="Q13" s="1244"/>
      <c r="R13" s="1244"/>
      <c r="S13" s="1244"/>
      <c r="W13" s="23"/>
      <c r="X13" s="23"/>
      <c r="Y13" s="1049"/>
    </row>
    <row r="14" spans="1:27" ht="18" customHeight="1" x14ac:dyDescent="0.25">
      <c r="A14" s="26" t="s">
        <v>438</v>
      </c>
      <c r="O14" s="1244"/>
      <c r="P14" s="1244"/>
      <c r="Q14" s="1244"/>
      <c r="R14" s="1244"/>
      <c r="S14" s="1244"/>
      <c r="W14" s="23"/>
      <c r="X14" s="23"/>
      <c r="Y14" s="1049"/>
    </row>
    <row r="15" spans="1:27" ht="18" customHeight="1" x14ac:dyDescent="0.25">
      <c r="A15" s="26" t="s">
        <v>24</v>
      </c>
      <c r="O15" s="1245"/>
      <c r="P15" s="1245"/>
      <c r="Q15" s="1245"/>
      <c r="R15" s="1245"/>
      <c r="S15" s="1245"/>
      <c r="W15" s="74"/>
      <c r="X15" s="74"/>
      <c r="Y15" s="1029"/>
    </row>
    <row r="16" spans="1:27" x14ac:dyDescent="0.25">
      <c r="A16" s="26" t="s">
        <v>52</v>
      </c>
      <c r="O16" s="2"/>
      <c r="Q16" s="1245"/>
      <c r="R16" s="1245"/>
      <c r="S16" s="1245"/>
      <c r="W16" s="74"/>
      <c r="X16" s="74"/>
      <c r="Y16" s="1029"/>
    </row>
    <row r="17" spans="1:17" x14ac:dyDescent="0.25">
      <c r="A17" s="30" t="s">
        <v>541</v>
      </c>
      <c r="G17" s="4"/>
      <c r="J17" s="5"/>
      <c r="L17" s="56"/>
      <c r="P17" s="2"/>
      <c r="Q17" s="5"/>
    </row>
    <row r="18" spans="1:17" x14ac:dyDescent="0.25">
      <c r="A18" s="30" t="str">
        <f>'Лайт+АКУСТИК DDP'!A78</f>
        <v>Б - отгрузка в течение 3 дней (заявки принимаются в любом количестве, кратно пачке).</v>
      </c>
      <c r="G18" s="4"/>
      <c r="J18" s="5"/>
      <c r="L18" s="56"/>
      <c r="P18" s="2"/>
      <c r="Q18" s="5"/>
    </row>
    <row r="19" spans="1:17" x14ac:dyDescent="0.25">
      <c r="A19" s="30" t="str">
        <f>'Лайт+АКУСТИК DDP'!A79</f>
        <v>Категория "С" - это товары "под заказ", и сроки индивидуально оговариваются с клиентом (заявки принимаются в объеме не менее 10 тонн, кратно поддону)</v>
      </c>
      <c r="G19" s="4"/>
      <c r="J19" s="5"/>
      <c r="L19" s="56"/>
      <c r="P19" s="2"/>
      <c r="Q19" s="5"/>
    </row>
    <row r="20" spans="1:17" x14ac:dyDescent="0.25">
      <c r="A20" s="30"/>
      <c r="G20" s="4"/>
      <c r="J20" s="5"/>
      <c r="L20" s="56"/>
      <c r="P20" s="2"/>
      <c r="Q20" s="5"/>
    </row>
  </sheetData>
  <mergeCells count="19">
    <mergeCell ref="B3:M3"/>
    <mergeCell ref="A8:A9"/>
    <mergeCell ref="K6:M6"/>
    <mergeCell ref="N6:O6"/>
    <mergeCell ref="Q6:S6"/>
    <mergeCell ref="A6:A7"/>
    <mergeCell ref="B6:B7"/>
    <mergeCell ref="C6:C7"/>
    <mergeCell ref="D6:D7"/>
    <mergeCell ref="E6:E7"/>
    <mergeCell ref="F6:F7"/>
    <mergeCell ref="G6:G7"/>
    <mergeCell ref="I6:I7"/>
    <mergeCell ref="J6:J7"/>
    <mergeCell ref="O12:S12"/>
    <mergeCell ref="O13:S13"/>
    <mergeCell ref="O14:S14"/>
    <mergeCell ref="O15:S15"/>
    <mergeCell ref="Q16:S16"/>
  </mergeCells>
  <printOptions horizontalCentered="1"/>
  <pageMargins left="0.19685039370078741" right="0.19685039370078741" top="0.39370078740157483" bottom="0" header="0" footer="0"/>
  <pageSetup paperSize="9" scale="42" orientation="portrait" verticalDpi="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9633" r:id="rId4" name="Drop Down 1">
              <controlPr defaultSize="0" autoLine="0" autoPict="0">
                <anchor moveWithCells="1">
                  <from>
                    <xdr:col>13</xdr:col>
                    <xdr:colOff>304800</xdr:colOff>
                    <xdr:row>1</xdr:row>
                    <xdr:rowOff>257175</xdr:rowOff>
                  </from>
                  <to>
                    <xdr:col>17</xdr:col>
                    <xdr:colOff>495300</xdr:colOff>
                    <xdr:row>2</xdr:row>
                    <xdr:rowOff>295275</xdr:rowOff>
                  </to>
                </anchor>
              </controlPr>
            </control>
          </mc:Choice>
        </mc:AlternateContent>
        <mc:AlternateContent xmlns:mc="http://schemas.openxmlformats.org/markup-compatibility/2006">
          <mc:Choice Requires="x14">
            <control shapeId="69634" r:id="rId5" name="Drop Down 2">
              <controlPr defaultSize="0" autoLine="0" autoPict="0">
                <anchor moveWithCells="1">
                  <from>
                    <xdr:col>13</xdr:col>
                    <xdr:colOff>304800</xdr:colOff>
                    <xdr:row>2</xdr:row>
                    <xdr:rowOff>476250</xdr:rowOff>
                  </from>
                  <to>
                    <xdr:col>14</xdr:col>
                    <xdr:colOff>714375</xdr:colOff>
                    <xdr:row>2</xdr:row>
                    <xdr:rowOff>838200</xdr:rowOff>
                  </to>
                </anchor>
              </controlPr>
            </control>
          </mc:Choice>
        </mc:AlternateContent>
        <mc:AlternateContent xmlns:mc="http://schemas.openxmlformats.org/markup-compatibility/2006">
          <mc:Choice Requires="x14">
            <control shapeId="69635" r:id="rId6" name="Drop Down 3">
              <controlPr defaultSize="0" autoLine="0" autoPict="0">
                <anchor moveWithCells="1">
                  <from>
                    <xdr:col>16</xdr:col>
                    <xdr:colOff>295275</xdr:colOff>
                    <xdr:row>2</xdr:row>
                    <xdr:rowOff>476250</xdr:rowOff>
                  </from>
                  <to>
                    <xdr:col>17</xdr:col>
                    <xdr:colOff>485775</xdr:colOff>
                    <xdr:row>2</xdr:row>
                    <xdr:rowOff>838200</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7">
    <tabColor rgb="FFFF0000"/>
  </sheetPr>
  <dimension ref="A1:V29"/>
  <sheetViews>
    <sheetView view="pageBreakPreview" zoomScale="60" zoomScaleNormal="70" workbookViewId="0">
      <selection activeCell="A6" sqref="A6:A7"/>
    </sheetView>
  </sheetViews>
  <sheetFormatPr defaultColWidth="11.42578125" defaultRowHeight="18" x14ac:dyDescent="0.25"/>
  <cols>
    <col min="1" max="1" width="38.7109375" style="3" customWidth="1"/>
    <col min="2" max="2" width="18.7109375" style="3" customWidth="1"/>
    <col min="3" max="5" width="9.7109375" style="2" customWidth="1"/>
    <col min="6" max="6" width="6.140625" style="71" customWidth="1"/>
    <col min="7" max="7" width="11.5703125" style="4" customWidth="1"/>
    <col min="8" max="8" width="11.5703125" style="2" customWidth="1"/>
    <col min="9" max="9" width="11.5703125" style="5" customWidth="1"/>
    <col min="10" max="10" width="11.5703125" style="4" customWidth="1"/>
    <col min="11" max="11" width="11.5703125" style="56" customWidth="1"/>
    <col min="12" max="12" width="11.5703125" style="2" customWidth="1"/>
    <col min="13" max="13" width="11.5703125" style="5" customWidth="1"/>
    <col min="14" max="16" width="15.140625" style="2" customWidth="1"/>
    <col min="17" max="17" width="11.42578125" style="2"/>
    <col min="18" max="22" width="9.140625" customWidth="1"/>
    <col min="23" max="16384" width="11.42578125" style="2"/>
  </cols>
  <sheetData>
    <row r="1" spans="1:22" ht="26.25" x14ac:dyDescent="0.4">
      <c r="A1" s="75" t="s">
        <v>19</v>
      </c>
      <c r="B1" s="75"/>
    </row>
    <row r="2" spans="1:22" s="27" customFormat="1" ht="26.25" x14ac:dyDescent="0.4">
      <c r="A2" s="75" t="s">
        <v>20</v>
      </c>
      <c r="B2" s="75"/>
      <c r="F2" s="72"/>
      <c r="G2" s="28"/>
      <c r="I2" s="29"/>
      <c r="J2" s="28"/>
      <c r="K2" s="57"/>
      <c r="M2" s="29"/>
    </row>
    <row r="3" spans="1:22" s="27" customFormat="1" ht="60" customHeight="1" x14ac:dyDescent="0.4">
      <c r="A3" s="2" t="s">
        <v>53</v>
      </c>
      <c r="B3" s="2"/>
      <c r="F3" s="72"/>
      <c r="G3" s="28"/>
      <c r="I3" s="29"/>
      <c r="J3" s="28"/>
      <c r="K3" s="57"/>
      <c r="M3" s="29"/>
    </row>
    <row r="4" spans="1:22" x14ac:dyDescent="0.25">
      <c r="A4" s="1387">
        <f>'Лайт+АКУСТИК DDP'!A4</f>
        <v>0</v>
      </c>
      <c r="B4" s="1388"/>
      <c r="C4" s="1388"/>
      <c r="D4" s="1388"/>
      <c r="E4" s="1388"/>
      <c r="F4" s="1388"/>
      <c r="G4" s="1388"/>
      <c r="H4" s="1388"/>
      <c r="I4" s="1388"/>
      <c r="J4" s="1388"/>
      <c r="K4" s="1388"/>
      <c r="L4" s="1388"/>
      <c r="M4" s="1388"/>
      <c r="N4" s="1388"/>
      <c r="O4" s="1388"/>
      <c r="P4" s="1388"/>
      <c r="Q4" s="7"/>
    </row>
    <row r="5" spans="1:22" ht="18.75" thickBot="1" x14ac:dyDescent="0.3">
      <c r="A5" s="6" t="s">
        <v>286</v>
      </c>
      <c r="B5" s="6"/>
      <c r="C5" s="7"/>
      <c r="D5" s="7"/>
      <c r="E5" s="7"/>
      <c r="F5" s="73"/>
      <c r="G5" s="7"/>
      <c r="H5" s="7"/>
      <c r="I5" s="7"/>
      <c r="J5" s="67"/>
      <c r="K5" s="58"/>
      <c r="L5" s="7"/>
      <c r="M5" s="7"/>
      <c r="N5" s="7"/>
      <c r="O5" s="7"/>
      <c r="P5" s="7"/>
      <c r="Q5" s="7"/>
    </row>
    <row r="6" spans="1:22" ht="72.75" customHeight="1" x14ac:dyDescent="0.25">
      <c r="A6" s="1250" t="s">
        <v>0</v>
      </c>
      <c r="B6" s="1352" t="s">
        <v>281</v>
      </c>
      <c r="C6" s="1252" t="s">
        <v>1</v>
      </c>
      <c r="D6" s="1254" t="s">
        <v>2</v>
      </c>
      <c r="E6" s="1256" t="s">
        <v>3</v>
      </c>
      <c r="F6" s="1260" t="s">
        <v>36</v>
      </c>
      <c r="G6" s="1301" t="s">
        <v>49</v>
      </c>
      <c r="H6" s="1302"/>
      <c r="I6" s="1303"/>
      <c r="J6" s="1304" t="s">
        <v>48</v>
      </c>
      <c r="K6" s="1305"/>
      <c r="L6" s="1269" t="s">
        <v>44</v>
      </c>
      <c r="M6" s="1270"/>
      <c r="N6" s="1308" t="s">
        <v>340</v>
      </c>
      <c r="O6" s="1302"/>
      <c r="P6" s="1309"/>
    </row>
    <row r="7" spans="1:22" ht="38.25" customHeight="1" thickBot="1" x14ac:dyDescent="0.3">
      <c r="A7" s="1251"/>
      <c r="B7" s="1389"/>
      <c r="C7" s="1253"/>
      <c r="D7" s="1255"/>
      <c r="E7" s="1257"/>
      <c r="F7" s="1263"/>
      <c r="G7" s="43" t="s">
        <v>5</v>
      </c>
      <c r="H7" s="54" t="s">
        <v>17</v>
      </c>
      <c r="I7" s="64" t="s">
        <v>18</v>
      </c>
      <c r="J7" s="68" t="s">
        <v>47</v>
      </c>
      <c r="K7" s="66" t="s">
        <v>18</v>
      </c>
      <c r="L7" s="65" t="s">
        <v>43</v>
      </c>
      <c r="M7" s="44" t="s">
        <v>42</v>
      </c>
      <c r="N7" s="42" t="s">
        <v>6</v>
      </c>
      <c r="O7" s="54" t="s">
        <v>18</v>
      </c>
      <c r="P7" s="41" t="s">
        <v>22</v>
      </c>
      <c r="R7" s="2"/>
      <c r="S7" s="2"/>
      <c r="T7" s="2"/>
      <c r="U7" s="2"/>
    </row>
    <row r="8" spans="1:22" ht="36.75" thickBot="1" x14ac:dyDescent="0.3">
      <c r="A8" s="8" t="s">
        <v>431</v>
      </c>
      <c r="B8" s="8"/>
      <c r="C8" s="9"/>
      <c r="D8" s="10"/>
      <c r="E8" s="11"/>
      <c r="F8" s="87"/>
      <c r="G8" s="45"/>
      <c r="H8" s="573"/>
      <c r="I8" s="46"/>
      <c r="J8" s="45"/>
      <c r="K8" s="574"/>
      <c r="L8" s="575"/>
      <c r="M8" s="46"/>
      <c r="N8" s="51"/>
      <c r="O8" s="576">
        <v>3800</v>
      </c>
      <c r="P8" s="577"/>
      <c r="R8" s="4"/>
      <c r="S8" s="2"/>
      <c r="T8" s="78"/>
      <c r="U8" s="2"/>
      <c r="V8" s="2"/>
    </row>
    <row r="9" spans="1:22" ht="36.75" thickBot="1" x14ac:dyDescent="0.3">
      <c r="A9" s="578" t="s">
        <v>432</v>
      </c>
      <c r="B9" s="579"/>
      <c r="C9" s="580"/>
      <c r="D9" s="581"/>
      <c r="E9" s="582"/>
      <c r="F9" s="454"/>
      <c r="G9" s="583"/>
      <c r="H9" s="584"/>
      <c r="I9" s="585"/>
      <c r="J9" s="583"/>
      <c r="K9" s="586"/>
      <c r="L9" s="587"/>
      <c r="M9" s="585"/>
      <c r="N9" s="588"/>
      <c r="O9" s="589">
        <v>4670</v>
      </c>
      <c r="P9" s="590"/>
    </row>
    <row r="10" spans="1:22" ht="20.100000000000001" customHeight="1" x14ac:dyDescent="0.25">
      <c r="A10" s="18"/>
      <c r="B10" s="18"/>
    </row>
    <row r="11" spans="1:22" ht="33" customHeight="1" x14ac:dyDescent="0.25">
      <c r="A11" s="1" t="s">
        <v>7</v>
      </c>
      <c r="B11" s="1"/>
      <c r="F11" s="2"/>
      <c r="L11" s="1275" t="s">
        <v>21</v>
      </c>
      <c r="M11" s="1275"/>
      <c r="N11" s="1275"/>
      <c r="O11" s="1275"/>
      <c r="P11" s="1275"/>
      <c r="R11" s="2"/>
      <c r="S11" s="2"/>
      <c r="T11" s="2"/>
      <c r="U11" s="2"/>
      <c r="V11" s="2"/>
    </row>
    <row r="12" spans="1:22" s="32" customFormat="1" ht="20.100000000000001" customHeight="1" x14ac:dyDescent="0.25">
      <c r="A12" s="471" t="s">
        <v>342</v>
      </c>
      <c r="B12" s="26"/>
      <c r="G12" s="33"/>
      <c r="I12" s="34"/>
      <c r="J12" s="33"/>
      <c r="K12" s="59"/>
      <c r="L12" s="1244" t="s">
        <v>40</v>
      </c>
      <c r="M12" s="1244"/>
      <c r="N12" s="1244"/>
      <c r="O12" s="1244"/>
      <c r="P12" s="1244"/>
    </row>
    <row r="13" spans="1:22" ht="20.100000000000001" customHeight="1" x14ac:dyDescent="0.25">
      <c r="A13" s="26" t="s">
        <v>438</v>
      </c>
      <c r="B13" s="26"/>
      <c r="F13" s="2"/>
      <c r="L13" s="1244" t="s">
        <v>39</v>
      </c>
      <c r="M13" s="1244"/>
      <c r="N13" s="1244"/>
      <c r="O13" s="1244"/>
      <c r="P13" s="1244"/>
      <c r="R13" s="2"/>
      <c r="S13" s="2"/>
      <c r="T13" s="2"/>
      <c r="U13" s="2"/>
      <c r="V13" s="2"/>
    </row>
    <row r="14" spans="1:22" ht="20.100000000000001" customHeight="1" x14ac:dyDescent="0.25">
      <c r="A14" s="26" t="s">
        <v>24</v>
      </c>
      <c r="B14" s="26"/>
      <c r="F14" s="2"/>
      <c r="L14" s="1245" t="s">
        <v>37</v>
      </c>
      <c r="M14" s="1245"/>
      <c r="N14" s="1245"/>
      <c r="O14" s="1245"/>
      <c r="P14" s="1245"/>
      <c r="R14" s="2"/>
      <c r="S14" s="2"/>
      <c r="T14" s="2"/>
      <c r="U14" s="2"/>
      <c r="V14" s="2"/>
    </row>
    <row r="15" spans="1:22" ht="20.100000000000001" customHeight="1" x14ac:dyDescent="0.25">
      <c r="A15" s="26"/>
      <c r="B15" s="26"/>
      <c r="F15" s="2"/>
      <c r="N15" s="1245" t="s">
        <v>38</v>
      </c>
      <c r="O15" s="1245"/>
      <c r="P15" s="1245"/>
      <c r="Q15" s="74"/>
      <c r="R15" s="74"/>
      <c r="S15" s="2"/>
      <c r="T15" s="2"/>
      <c r="U15" s="2"/>
      <c r="V15" s="2"/>
    </row>
    <row r="16" spans="1:22" ht="20.100000000000001" customHeight="1" x14ac:dyDescent="0.25">
      <c r="A16" s="30"/>
      <c r="B16" s="30"/>
      <c r="F16" s="2"/>
      <c r="R16" s="2"/>
      <c r="S16" s="2"/>
      <c r="T16" s="2"/>
      <c r="U16" s="2"/>
      <c r="V16" s="2"/>
    </row>
    <row r="17" spans="1:22" ht="20.100000000000001" customHeight="1" x14ac:dyDescent="0.25">
      <c r="A17" s="30"/>
      <c r="B17" s="30"/>
      <c r="F17" s="2"/>
      <c r="R17" s="2"/>
      <c r="S17" s="2"/>
      <c r="T17" s="2"/>
      <c r="U17" s="2"/>
      <c r="V17" s="2"/>
    </row>
    <row r="18" spans="1:22" ht="20.100000000000001" customHeight="1" x14ac:dyDescent="0.25">
      <c r="A18" s="30"/>
      <c r="B18" s="30"/>
      <c r="F18" s="2"/>
      <c r="R18" s="2"/>
      <c r="S18" s="2"/>
      <c r="T18" s="2"/>
      <c r="U18" s="2"/>
      <c r="V18" s="2"/>
    </row>
    <row r="19" spans="1:22" ht="20.100000000000001" customHeight="1" x14ac:dyDescent="0.25">
      <c r="A19" s="30"/>
      <c r="B19" s="30"/>
      <c r="F19" s="2"/>
      <c r="R19" s="2"/>
      <c r="S19" s="2"/>
      <c r="T19" s="2"/>
      <c r="U19" s="2"/>
      <c r="V19" s="2"/>
    </row>
    <row r="20" spans="1:22" ht="20.100000000000001" customHeight="1" x14ac:dyDescent="0.25">
      <c r="A20" s="30"/>
      <c r="B20" s="30"/>
      <c r="F20" s="2"/>
      <c r="R20" s="2"/>
      <c r="S20" s="2"/>
      <c r="T20" s="2"/>
      <c r="U20" s="2"/>
      <c r="V20" s="2"/>
    </row>
    <row r="21" spans="1:22" ht="20.100000000000001" customHeight="1" x14ac:dyDescent="0.25">
      <c r="A21" s="31"/>
      <c r="B21" s="31"/>
      <c r="F21" s="2"/>
      <c r="R21" s="2"/>
      <c r="S21" s="2"/>
      <c r="T21" s="2"/>
      <c r="U21" s="2"/>
      <c r="V21" s="2"/>
    </row>
    <row r="22" spans="1:22" ht="20.100000000000001" customHeight="1" x14ac:dyDescent="0.25">
      <c r="F22" s="2"/>
      <c r="R22" s="2"/>
      <c r="S22" s="2"/>
      <c r="T22" s="2"/>
      <c r="U22" s="2"/>
      <c r="V22" s="2"/>
    </row>
    <row r="23" spans="1:22" ht="19.5" customHeight="1" x14ac:dyDescent="0.25">
      <c r="A23" s="2"/>
      <c r="B23" s="2"/>
      <c r="F23" s="2"/>
      <c r="R23" s="2"/>
      <c r="S23" s="2"/>
      <c r="T23" s="2"/>
      <c r="U23" s="2"/>
      <c r="V23" s="2"/>
    </row>
    <row r="24" spans="1:22" ht="20.100000000000001" customHeight="1" x14ac:dyDescent="0.25">
      <c r="A24" s="2"/>
      <c r="B24" s="2"/>
      <c r="F24" s="2"/>
      <c r="R24" s="2"/>
      <c r="S24" s="2"/>
      <c r="T24" s="2"/>
      <c r="U24" s="2"/>
      <c r="V24" s="2"/>
    </row>
    <row r="25" spans="1:22" ht="20.100000000000001" customHeight="1" x14ac:dyDescent="0.25">
      <c r="A25" s="2"/>
      <c r="B25" s="2"/>
      <c r="D25" s="19"/>
      <c r="E25" s="20"/>
      <c r="F25" s="20"/>
      <c r="G25" s="21"/>
      <c r="H25" s="20"/>
      <c r="I25" s="22"/>
      <c r="J25" s="69"/>
      <c r="K25" s="60"/>
      <c r="L25" s="20"/>
      <c r="M25" s="22"/>
      <c r="N25" s="22"/>
      <c r="O25" s="22"/>
      <c r="P25" s="22"/>
      <c r="R25" s="2"/>
      <c r="S25" s="2"/>
      <c r="T25" s="2"/>
      <c r="U25" s="2"/>
      <c r="V25" s="2"/>
    </row>
    <row r="26" spans="1:22" ht="20.100000000000001" customHeight="1" x14ac:dyDescent="0.25">
      <c r="D26" s="23"/>
      <c r="E26" s="20"/>
      <c r="F26" s="20"/>
      <c r="G26" s="21"/>
      <c r="H26" s="20"/>
      <c r="I26" s="24"/>
      <c r="J26" s="70"/>
      <c r="K26" s="60"/>
      <c r="L26" s="20"/>
      <c r="M26" s="24"/>
      <c r="N26" s="24"/>
      <c r="O26" s="24"/>
      <c r="P26" s="24"/>
      <c r="R26" s="2"/>
      <c r="S26" s="2"/>
      <c r="T26" s="2"/>
      <c r="U26" s="2"/>
      <c r="V26" s="2"/>
    </row>
    <row r="27" spans="1:22" ht="20.100000000000001" customHeight="1" x14ac:dyDescent="0.25">
      <c r="D27" s="23"/>
      <c r="E27" s="20"/>
      <c r="F27" s="20"/>
      <c r="G27" s="21"/>
      <c r="H27" s="20"/>
      <c r="I27" s="24"/>
      <c r="J27" s="70"/>
      <c r="K27" s="60"/>
      <c r="L27" s="20"/>
      <c r="M27" s="24"/>
      <c r="N27" s="24"/>
      <c r="O27" s="24"/>
      <c r="P27" s="24"/>
      <c r="R27" s="2"/>
      <c r="S27" s="2"/>
      <c r="T27" s="2"/>
      <c r="U27" s="2"/>
      <c r="V27" s="2"/>
    </row>
    <row r="29" spans="1:22" x14ac:dyDescent="0.25">
      <c r="C29" s="25"/>
    </row>
  </sheetData>
  <mergeCells count="16">
    <mergeCell ref="N15:P15"/>
    <mergeCell ref="A4:P4"/>
    <mergeCell ref="A6:A7"/>
    <mergeCell ref="B6:B7"/>
    <mergeCell ref="C6:C7"/>
    <mergeCell ref="D6:D7"/>
    <mergeCell ref="E6:E7"/>
    <mergeCell ref="F6:F7"/>
    <mergeCell ref="G6:I6"/>
    <mergeCell ref="J6:K6"/>
    <mergeCell ref="L13:P13"/>
    <mergeCell ref="L14:P14"/>
    <mergeCell ref="L6:M6"/>
    <mergeCell ref="N6:P6"/>
    <mergeCell ref="L11:P11"/>
    <mergeCell ref="L12:P12"/>
  </mergeCells>
  <phoneticPr fontId="65" type="noConversion"/>
  <hyperlinks>
    <hyperlink ref="L14" r:id="rId1"/>
    <hyperlink ref="N15" r:id="rId2"/>
  </hyperlinks>
  <pageMargins left="0.7" right="0.7" top="0.75" bottom="0.75" header="0.3" footer="0.3"/>
  <pageSetup paperSize="9" scale="40" orientation="portrait" r:id="rId3"/>
  <drawing r:id="rId4"/>
  <legacyDrawing r:id="rId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81"/>
  <sheetViews>
    <sheetView workbookViewId="0">
      <selection activeCell="C20" sqref="C20"/>
    </sheetView>
  </sheetViews>
  <sheetFormatPr defaultRowHeight="15" x14ac:dyDescent="0.25"/>
  <cols>
    <col min="1" max="1" width="36.42578125" style="862" customWidth="1"/>
    <col min="2" max="2" width="11.42578125" style="862" customWidth="1"/>
    <col min="3" max="3" width="14" style="865" customWidth="1"/>
    <col min="4" max="4" width="14.7109375" style="862" customWidth="1"/>
    <col min="5" max="5" width="15" style="862" customWidth="1"/>
    <col min="6" max="6" width="19.28515625" style="862" customWidth="1"/>
    <col min="7" max="256" width="9.140625" style="862"/>
    <col min="257" max="257" width="36.42578125" style="862" customWidth="1"/>
    <col min="258" max="258" width="11.42578125" style="862" customWidth="1"/>
    <col min="259" max="259" width="14" style="862" customWidth="1"/>
    <col min="260" max="260" width="14.7109375" style="862" customWidth="1"/>
    <col min="261" max="261" width="15" style="862" customWidth="1"/>
    <col min="262" max="262" width="19.28515625" style="862" customWidth="1"/>
    <col min="263" max="512" width="9.140625" style="862"/>
    <col min="513" max="513" width="36.42578125" style="862" customWidth="1"/>
    <col min="514" max="514" width="11.42578125" style="862" customWidth="1"/>
    <col min="515" max="515" width="14" style="862" customWidth="1"/>
    <col min="516" max="516" width="14.7109375" style="862" customWidth="1"/>
    <col min="517" max="517" width="15" style="862" customWidth="1"/>
    <col min="518" max="518" width="19.28515625" style="862" customWidth="1"/>
    <col min="519" max="768" width="9.140625" style="862"/>
    <col min="769" max="769" width="36.42578125" style="862" customWidth="1"/>
    <col min="770" max="770" width="11.42578125" style="862" customWidth="1"/>
    <col min="771" max="771" width="14" style="862" customWidth="1"/>
    <col min="772" max="772" width="14.7109375" style="862" customWidth="1"/>
    <col min="773" max="773" width="15" style="862" customWidth="1"/>
    <col min="774" max="774" width="19.28515625" style="862" customWidth="1"/>
    <col min="775" max="1024" width="9.140625" style="862"/>
    <col min="1025" max="1025" width="36.42578125" style="862" customWidth="1"/>
    <col min="1026" max="1026" width="11.42578125" style="862" customWidth="1"/>
    <col min="1027" max="1027" width="14" style="862" customWidth="1"/>
    <col min="1028" max="1028" width="14.7109375" style="862" customWidth="1"/>
    <col min="1029" max="1029" width="15" style="862" customWidth="1"/>
    <col min="1030" max="1030" width="19.28515625" style="862" customWidth="1"/>
    <col min="1031" max="1280" width="9.140625" style="862"/>
    <col min="1281" max="1281" width="36.42578125" style="862" customWidth="1"/>
    <col min="1282" max="1282" width="11.42578125" style="862" customWidth="1"/>
    <col min="1283" max="1283" width="14" style="862" customWidth="1"/>
    <col min="1284" max="1284" width="14.7109375" style="862" customWidth="1"/>
    <col min="1285" max="1285" width="15" style="862" customWidth="1"/>
    <col min="1286" max="1286" width="19.28515625" style="862" customWidth="1"/>
    <col min="1287" max="1536" width="9.140625" style="862"/>
    <col min="1537" max="1537" width="36.42578125" style="862" customWidth="1"/>
    <col min="1538" max="1538" width="11.42578125" style="862" customWidth="1"/>
    <col min="1539" max="1539" width="14" style="862" customWidth="1"/>
    <col min="1540" max="1540" width="14.7109375" style="862" customWidth="1"/>
    <col min="1541" max="1541" width="15" style="862" customWidth="1"/>
    <col min="1542" max="1542" width="19.28515625" style="862" customWidth="1"/>
    <col min="1543" max="1792" width="9.140625" style="862"/>
    <col min="1793" max="1793" width="36.42578125" style="862" customWidth="1"/>
    <col min="1794" max="1794" width="11.42578125" style="862" customWidth="1"/>
    <col min="1795" max="1795" width="14" style="862" customWidth="1"/>
    <col min="1796" max="1796" width="14.7109375" style="862" customWidth="1"/>
    <col min="1797" max="1797" width="15" style="862" customWidth="1"/>
    <col min="1798" max="1798" width="19.28515625" style="862" customWidth="1"/>
    <col min="1799" max="2048" width="9.140625" style="862"/>
    <col min="2049" max="2049" width="36.42578125" style="862" customWidth="1"/>
    <col min="2050" max="2050" width="11.42578125" style="862" customWidth="1"/>
    <col min="2051" max="2051" width="14" style="862" customWidth="1"/>
    <col min="2052" max="2052" width="14.7109375" style="862" customWidth="1"/>
    <col min="2053" max="2053" width="15" style="862" customWidth="1"/>
    <col min="2054" max="2054" width="19.28515625" style="862" customWidth="1"/>
    <col min="2055" max="2304" width="9.140625" style="862"/>
    <col min="2305" max="2305" width="36.42578125" style="862" customWidth="1"/>
    <col min="2306" max="2306" width="11.42578125" style="862" customWidth="1"/>
    <col min="2307" max="2307" width="14" style="862" customWidth="1"/>
    <col min="2308" max="2308" width="14.7109375" style="862" customWidth="1"/>
    <col min="2309" max="2309" width="15" style="862" customWidth="1"/>
    <col min="2310" max="2310" width="19.28515625" style="862" customWidth="1"/>
    <col min="2311" max="2560" width="9.140625" style="862"/>
    <col min="2561" max="2561" width="36.42578125" style="862" customWidth="1"/>
    <col min="2562" max="2562" width="11.42578125" style="862" customWidth="1"/>
    <col min="2563" max="2563" width="14" style="862" customWidth="1"/>
    <col min="2564" max="2564" width="14.7109375" style="862" customWidth="1"/>
    <col min="2565" max="2565" width="15" style="862" customWidth="1"/>
    <col min="2566" max="2566" width="19.28515625" style="862" customWidth="1"/>
    <col min="2567" max="2816" width="9.140625" style="862"/>
    <col min="2817" max="2817" width="36.42578125" style="862" customWidth="1"/>
    <col min="2818" max="2818" width="11.42578125" style="862" customWidth="1"/>
    <col min="2819" max="2819" width="14" style="862" customWidth="1"/>
    <col min="2820" max="2820" width="14.7109375" style="862" customWidth="1"/>
    <col min="2821" max="2821" width="15" style="862" customWidth="1"/>
    <col min="2822" max="2822" width="19.28515625" style="862" customWidth="1"/>
    <col min="2823" max="3072" width="9.140625" style="862"/>
    <col min="3073" max="3073" width="36.42578125" style="862" customWidth="1"/>
    <col min="3074" max="3074" width="11.42578125" style="862" customWidth="1"/>
    <col min="3075" max="3075" width="14" style="862" customWidth="1"/>
    <col min="3076" max="3076" width="14.7109375" style="862" customWidth="1"/>
    <col min="3077" max="3077" width="15" style="862" customWidth="1"/>
    <col min="3078" max="3078" width="19.28515625" style="862" customWidth="1"/>
    <col min="3079" max="3328" width="9.140625" style="862"/>
    <col min="3329" max="3329" width="36.42578125" style="862" customWidth="1"/>
    <col min="3330" max="3330" width="11.42578125" style="862" customWidth="1"/>
    <col min="3331" max="3331" width="14" style="862" customWidth="1"/>
    <col min="3332" max="3332" width="14.7109375" style="862" customWidth="1"/>
    <col min="3333" max="3333" width="15" style="862" customWidth="1"/>
    <col min="3334" max="3334" width="19.28515625" style="862" customWidth="1"/>
    <col min="3335" max="3584" width="9.140625" style="862"/>
    <col min="3585" max="3585" width="36.42578125" style="862" customWidth="1"/>
    <col min="3586" max="3586" width="11.42578125" style="862" customWidth="1"/>
    <col min="3587" max="3587" width="14" style="862" customWidth="1"/>
    <col min="3588" max="3588" width="14.7109375" style="862" customWidth="1"/>
    <col min="3589" max="3589" width="15" style="862" customWidth="1"/>
    <col min="3590" max="3590" width="19.28515625" style="862" customWidth="1"/>
    <col min="3591" max="3840" width="9.140625" style="862"/>
    <col min="3841" max="3841" width="36.42578125" style="862" customWidth="1"/>
    <col min="3842" max="3842" width="11.42578125" style="862" customWidth="1"/>
    <col min="3843" max="3843" width="14" style="862" customWidth="1"/>
    <col min="3844" max="3844" width="14.7109375" style="862" customWidth="1"/>
    <col min="3845" max="3845" width="15" style="862" customWidth="1"/>
    <col min="3846" max="3846" width="19.28515625" style="862" customWidth="1"/>
    <col min="3847" max="4096" width="9.140625" style="862"/>
    <col min="4097" max="4097" width="36.42578125" style="862" customWidth="1"/>
    <col min="4098" max="4098" width="11.42578125" style="862" customWidth="1"/>
    <col min="4099" max="4099" width="14" style="862" customWidth="1"/>
    <col min="4100" max="4100" width="14.7109375" style="862" customWidth="1"/>
    <col min="4101" max="4101" width="15" style="862" customWidth="1"/>
    <col min="4102" max="4102" width="19.28515625" style="862" customWidth="1"/>
    <col min="4103" max="4352" width="9.140625" style="862"/>
    <col min="4353" max="4353" width="36.42578125" style="862" customWidth="1"/>
    <col min="4354" max="4354" width="11.42578125" style="862" customWidth="1"/>
    <col min="4355" max="4355" width="14" style="862" customWidth="1"/>
    <col min="4356" max="4356" width="14.7109375" style="862" customWidth="1"/>
    <col min="4357" max="4357" width="15" style="862" customWidth="1"/>
    <col min="4358" max="4358" width="19.28515625" style="862" customWidth="1"/>
    <col min="4359" max="4608" width="9.140625" style="862"/>
    <col min="4609" max="4609" width="36.42578125" style="862" customWidth="1"/>
    <col min="4610" max="4610" width="11.42578125" style="862" customWidth="1"/>
    <col min="4611" max="4611" width="14" style="862" customWidth="1"/>
    <col min="4612" max="4612" width="14.7109375" style="862" customWidth="1"/>
    <col min="4613" max="4613" width="15" style="862" customWidth="1"/>
    <col min="4614" max="4614" width="19.28515625" style="862" customWidth="1"/>
    <col min="4615" max="4864" width="9.140625" style="862"/>
    <col min="4865" max="4865" width="36.42578125" style="862" customWidth="1"/>
    <col min="4866" max="4866" width="11.42578125" style="862" customWidth="1"/>
    <col min="4867" max="4867" width="14" style="862" customWidth="1"/>
    <col min="4868" max="4868" width="14.7109375" style="862" customWidth="1"/>
    <col min="4869" max="4869" width="15" style="862" customWidth="1"/>
    <col min="4870" max="4870" width="19.28515625" style="862" customWidth="1"/>
    <col min="4871" max="5120" width="9.140625" style="862"/>
    <col min="5121" max="5121" width="36.42578125" style="862" customWidth="1"/>
    <col min="5122" max="5122" width="11.42578125" style="862" customWidth="1"/>
    <col min="5123" max="5123" width="14" style="862" customWidth="1"/>
    <col min="5124" max="5124" width="14.7109375" style="862" customWidth="1"/>
    <col min="5125" max="5125" width="15" style="862" customWidth="1"/>
    <col min="5126" max="5126" width="19.28515625" style="862" customWidth="1"/>
    <col min="5127" max="5376" width="9.140625" style="862"/>
    <col min="5377" max="5377" width="36.42578125" style="862" customWidth="1"/>
    <col min="5378" max="5378" width="11.42578125" style="862" customWidth="1"/>
    <col min="5379" max="5379" width="14" style="862" customWidth="1"/>
    <col min="5380" max="5380" width="14.7109375" style="862" customWidth="1"/>
    <col min="5381" max="5381" width="15" style="862" customWidth="1"/>
    <col min="5382" max="5382" width="19.28515625" style="862" customWidth="1"/>
    <col min="5383" max="5632" width="9.140625" style="862"/>
    <col min="5633" max="5633" width="36.42578125" style="862" customWidth="1"/>
    <col min="5634" max="5634" width="11.42578125" style="862" customWidth="1"/>
    <col min="5635" max="5635" width="14" style="862" customWidth="1"/>
    <col min="5636" max="5636" width="14.7109375" style="862" customWidth="1"/>
    <col min="5637" max="5637" width="15" style="862" customWidth="1"/>
    <col min="5638" max="5638" width="19.28515625" style="862" customWidth="1"/>
    <col min="5639" max="5888" width="9.140625" style="862"/>
    <col min="5889" max="5889" width="36.42578125" style="862" customWidth="1"/>
    <col min="5890" max="5890" width="11.42578125" style="862" customWidth="1"/>
    <col min="5891" max="5891" width="14" style="862" customWidth="1"/>
    <col min="5892" max="5892" width="14.7109375" style="862" customWidth="1"/>
    <col min="5893" max="5893" width="15" style="862" customWidth="1"/>
    <col min="5894" max="5894" width="19.28515625" style="862" customWidth="1"/>
    <col min="5895" max="6144" width="9.140625" style="862"/>
    <col min="6145" max="6145" width="36.42578125" style="862" customWidth="1"/>
    <col min="6146" max="6146" width="11.42578125" style="862" customWidth="1"/>
    <col min="6147" max="6147" width="14" style="862" customWidth="1"/>
    <col min="6148" max="6148" width="14.7109375" style="862" customWidth="1"/>
    <col min="6149" max="6149" width="15" style="862" customWidth="1"/>
    <col min="6150" max="6150" width="19.28515625" style="862" customWidth="1"/>
    <col min="6151" max="6400" width="9.140625" style="862"/>
    <col min="6401" max="6401" width="36.42578125" style="862" customWidth="1"/>
    <col min="6402" max="6402" width="11.42578125" style="862" customWidth="1"/>
    <col min="6403" max="6403" width="14" style="862" customWidth="1"/>
    <col min="6404" max="6404" width="14.7109375" style="862" customWidth="1"/>
    <col min="6405" max="6405" width="15" style="862" customWidth="1"/>
    <col min="6406" max="6406" width="19.28515625" style="862" customWidth="1"/>
    <col min="6407" max="6656" width="9.140625" style="862"/>
    <col min="6657" max="6657" width="36.42578125" style="862" customWidth="1"/>
    <col min="6658" max="6658" width="11.42578125" style="862" customWidth="1"/>
    <col min="6659" max="6659" width="14" style="862" customWidth="1"/>
    <col min="6660" max="6660" width="14.7109375" style="862" customWidth="1"/>
    <col min="6661" max="6661" width="15" style="862" customWidth="1"/>
    <col min="6662" max="6662" width="19.28515625" style="862" customWidth="1"/>
    <col min="6663" max="6912" width="9.140625" style="862"/>
    <col min="6913" max="6913" width="36.42578125" style="862" customWidth="1"/>
    <col min="6914" max="6914" width="11.42578125" style="862" customWidth="1"/>
    <col min="6915" max="6915" width="14" style="862" customWidth="1"/>
    <col min="6916" max="6916" width="14.7109375" style="862" customWidth="1"/>
    <col min="6917" max="6917" width="15" style="862" customWidth="1"/>
    <col min="6918" max="6918" width="19.28515625" style="862" customWidth="1"/>
    <col min="6919" max="7168" width="9.140625" style="862"/>
    <col min="7169" max="7169" width="36.42578125" style="862" customWidth="1"/>
    <col min="7170" max="7170" width="11.42578125" style="862" customWidth="1"/>
    <col min="7171" max="7171" width="14" style="862" customWidth="1"/>
    <col min="7172" max="7172" width="14.7109375" style="862" customWidth="1"/>
    <col min="7173" max="7173" width="15" style="862" customWidth="1"/>
    <col min="7174" max="7174" width="19.28515625" style="862" customWidth="1"/>
    <col min="7175" max="7424" width="9.140625" style="862"/>
    <col min="7425" max="7425" width="36.42578125" style="862" customWidth="1"/>
    <col min="7426" max="7426" width="11.42578125" style="862" customWidth="1"/>
    <col min="7427" max="7427" width="14" style="862" customWidth="1"/>
    <col min="7428" max="7428" width="14.7109375" style="862" customWidth="1"/>
    <col min="7429" max="7429" width="15" style="862" customWidth="1"/>
    <col min="7430" max="7430" width="19.28515625" style="862" customWidth="1"/>
    <col min="7431" max="7680" width="9.140625" style="862"/>
    <col min="7681" max="7681" width="36.42578125" style="862" customWidth="1"/>
    <col min="7682" max="7682" width="11.42578125" style="862" customWidth="1"/>
    <col min="7683" max="7683" width="14" style="862" customWidth="1"/>
    <col min="7684" max="7684" width="14.7109375" style="862" customWidth="1"/>
    <col min="7685" max="7685" width="15" style="862" customWidth="1"/>
    <col min="7686" max="7686" width="19.28515625" style="862" customWidth="1"/>
    <col min="7687" max="7936" width="9.140625" style="862"/>
    <col min="7937" max="7937" width="36.42578125" style="862" customWidth="1"/>
    <col min="7938" max="7938" width="11.42578125" style="862" customWidth="1"/>
    <col min="7939" max="7939" width="14" style="862" customWidth="1"/>
    <col min="7940" max="7940" width="14.7109375" style="862" customWidth="1"/>
    <col min="7941" max="7941" width="15" style="862" customWidth="1"/>
    <col min="7942" max="7942" width="19.28515625" style="862" customWidth="1"/>
    <col min="7943" max="8192" width="9.140625" style="862"/>
    <col min="8193" max="8193" width="36.42578125" style="862" customWidth="1"/>
    <col min="8194" max="8194" width="11.42578125" style="862" customWidth="1"/>
    <col min="8195" max="8195" width="14" style="862" customWidth="1"/>
    <col min="8196" max="8196" width="14.7109375" style="862" customWidth="1"/>
    <col min="8197" max="8197" width="15" style="862" customWidth="1"/>
    <col min="8198" max="8198" width="19.28515625" style="862" customWidth="1"/>
    <col min="8199" max="8448" width="9.140625" style="862"/>
    <col min="8449" max="8449" width="36.42578125" style="862" customWidth="1"/>
    <col min="8450" max="8450" width="11.42578125" style="862" customWidth="1"/>
    <col min="8451" max="8451" width="14" style="862" customWidth="1"/>
    <col min="8452" max="8452" width="14.7109375" style="862" customWidth="1"/>
    <col min="8453" max="8453" width="15" style="862" customWidth="1"/>
    <col min="8454" max="8454" width="19.28515625" style="862" customWidth="1"/>
    <col min="8455" max="8704" width="9.140625" style="862"/>
    <col min="8705" max="8705" width="36.42578125" style="862" customWidth="1"/>
    <col min="8706" max="8706" width="11.42578125" style="862" customWidth="1"/>
    <col min="8707" max="8707" width="14" style="862" customWidth="1"/>
    <col min="8708" max="8708" width="14.7109375" style="862" customWidth="1"/>
    <col min="8709" max="8709" width="15" style="862" customWidth="1"/>
    <col min="8710" max="8710" width="19.28515625" style="862" customWidth="1"/>
    <col min="8711" max="8960" width="9.140625" style="862"/>
    <col min="8961" max="8961" width="36.42578125" style="862" customWidth="1"/>
    <col min="8962" max="8962" width="11.42578125" style="862" customWidth="1"/>
    <col min="8963" max="8963" width="14" style="862" customWidth="1"/>
    <col min="8964" max="8964" width="14.7109375" style="862" customWidth="1"/>
    <col min="8965" max="8965" width="15" style="862" customWidth="1"/>
    <col min="8966" max="8966" width="19.28515625" style="862" customWidth="1"/>
    <col min="8967" max="9216" width="9.140625" style="862"/>
    <col min="9217" max="9217" width="36.42578125" style="862" customWidth="1"/>
    <col min="9218" max="9218" width="11.42578125" style="862" customWidth="1"/>
    <col min="9219" max="9219" width="14" style="862" customWidth="1"/>
    <col min="9220" max="9220" width="14.7109375" style="862" customWidth="1"/>
    <col min="9221" max="9221" width="15" style="862" customWidth="1"/>
    <col min="9222" max="9222" width="19.28515625" style="862" customWidth="1"/>
    <col min="9223" max="9472" width="9.140625" style="862"/>
    <col min="9473" max="9473" width="36.42578125" style="862" customWidth="1"/>
    <col min="9474" max="9474" width="11.42578125" style="862" customWidth="1"/>
    <col min="9475" max="9475" width="14" style="862" customWidth="1"/>
    <col min="9476" max="9476" width="14.7109375" style="862" customWidth="1"/>
    <col min="9477" max="9477" width="15" style="862" customWidth="1"/>
    <col min="9478" max="9478" width="19.28515625" style="862" customWidth="1"/>
    <col min="9479" max="9728" width="9.140625" style="862"/>
    <col min="9729" max="9729" width="36.42578125" style="862" customWidth="1"/>
    <col min="9730" max="9730" width="11.42578125" style="862" customWidth="1"/>
    <col min="9731" max="9731" width="14" style="862" customWidth="1"/>
    <col min="9732" max="9732" width="14.7109375" style="862" customWidth="1"/>
    <col min="9733" max="9733" width="15" style="862" customWidth="1"/>
    <col min="9734" max="9734" width="19.28515625" style="862" customWidth="1"/>
    <col min="9735" max="9984" width="9.140625" style="862"/>
    <col min="9985" max="9985" width="36.42578125" style="862" customWidth="1"/>
    <col min="9986" max="9986" width="11.42578125" style="862" customWidth="1"/>
    <col min="9987" max="9987" width="14" style="862" customWidth="1"/>
    <col min="9988" max="9988" width="14.7109375" style="862" customWidth="1"/>
    <col min="9989" max="9989" width="15" style="862" customWidth="1"/>
    <col min="9990" max="9990" width="19.28515625" style="862" customWidth="1"/>
    <col min="9991" max="10240" width="9.140625" style="862"/>
    <col min="10241" max="10241" width="36.42578125" style="862" customWidth="1"/>
    <col min="10242" max="10242" width="11.42578125" style="862" customWidth="1"/>
    <col min="10243" max="10243" width="14" style="862" customWidth="1"/>
    <col min="10244" max="10244" width="14.7109375" style="862" customWidth="1"/>
    <col min="10245" max="10245" width="15" style="862" customWidth="1"/>
    <col min="10246" max="10246" width="19.28515625" style="862" customWidth="1"/>
    <col min="10247" max="10496" width="9.140625" style="862"/>
    <col min="10497" max="10497" width="36.42578125" style="862" customWidth="1"/>
    <col min="10498" max="10498" width="11.42578125" style="862" customWidth="1"/>
    <col min="10499" max="10499" width="14" style="862" customWidth="1"/>
    <col min="10500" max="10500" width="14.7109375" style="862" customWidth="1"/>
    <col min="10501" max="10501" width="15" style="862" customWidth="1"/>
    <col min="10502" max="10502" width="19.28515625" style="862" customWidth="1"/>
    <col min="10503" max="10752" width="9.140625" style="862"/>
    <col min="10753" max="10753" width="36.42578125" style="862" customWidth="1"/>
    <col min="10754" max="10754" width="11.42578125" style="862" customWidth="1"/>
    <col min="10755" max="10755" width="14" style="862" customWidth="1"/>
    <col min="10756" max="10756" width="14.7109375" style="862" customWidth="1"/>
    <col min="10757" max="10757" width="15" style="862" customWidth="1"/>
    <col min="10758" max="10758" width="19.28515625" style="862" customWidth="1"/>
    <col min="10759" max="11008" width="9.140625" style="862"/>
    <col min="11009" max="11009" width="36.42578125" style="862" customWidth="1"/>
    <col min="11010" max="11010" width="11.42578125" style="862" customWidth="1"/>
    <col min="11011" max="11011" width="14" style="862" customWidth="1"/>
    <col min="11012" max="11012" width="14.7109375" style="862" customWidth="1"/>
    <col min="11013" max="11013" width="15" style="862" customWidth="1"/>
    <col min="11014" max="11014" width="19.28515625" style="862" customWidth="1"/>
    <col min="11015" max="11264" width="9.140625" style="862"/>
    <col min="11265" max="11265" width="36.42578125" style="862" customWidth="1"/>
    <col min="11266" max="11266" width="11.42578125" style="862" customWidth="1"/>
    <col min="11267" max="11267" width="14" style="862" customWidth="1"/>
    <col min="11268" max="11268" width="14.7109375" style="862" customWidth="1"/>
    <col min="11269" max="11269" width="15" style="862" customWidth="1"/>
    <col min="11270" max="11270" width="19.28515625" style="862" customWidth="1"/>
    <col min="11271" max="11520" width="9.140625" style="862"/>
    <col min="11521" max="11521" width="36.42578125" style="862" customWidth="1"/>
    <col min="11522" max="11522" width="11.42578125" style="862" customWidth="1"/>
    <col min="11523" max="11523" width="14" style="862" customWidth="1"/>
    <col min="11524" max="11524" width="14.7109375" style="862" customWidth="1"/>
    <col min="11525" max="11525" width="15" style="862" customWidth="1"/>
    <col min="11526" max="11526" width="19.28515625" style="862" customWidth="1"/>
    <col min="11527" max="11776" width="9.140625" style="862"/>
    <col min="11777" max="11777" width="36.42578125" style="862" customWidth="1"/>
    <col min="11778" max="11778" width="11.42578125" style="862" customWidth="1"/>
    <col min="11779" max="11779" width="14" style="862" customWidth="1"/>
    <col min="11780" max="11780" width="14.7109375" style="862" customWidth="1"/>
    <col min="11781" max="11781" width="15" style="862" customWidth="1"/>
    <col min="11782" max="11782" width="19.28515625" style="862" customWidth="1"/>
    <col min="11783" max="12032" width="9.140625" style="862"/>
    <col min="12033" max="12033" width="36.42578125" style="862" customWidth="1"/>
    <col min="12034" max="12034" width="11.42578125" style="862" customWidth="1"/>
    <col min="12035" max="12035" width="14" style="862" customWidth="1"/>
    <col min="12036" max="12036" width="14.7109375" style="862" customWidth="1"/>
    <col min="12037" max="12037" width="15" style="862" customWidth="1"/>
    <col min="12038" max="12038" width="19.28515625" style="862" customWidth="1"/>
    <col min="12039" max="12288" width="9.140625" style="862"/>
    <col min="12289" max="12289" width="36.42578125" style="862" customWidth="1"/>
    <col min="12290" max="12290" width="11.42578125" style="862" customWidth="1"/>
    <col min="12291" max="12291" width="14" style="862" customWidth="1"/>
    <col min="12292" max="12292" width="14.7109375" style="862" customWidth="1"/>
    <col min="12293" max="12293" width="15" style="862" customWidth="1"/>
    <col min="12294" max="12294" width="19.28515625" style="862" customWidth="1"/>
    <col min="12295" max="12544" width="9.140625" style="862"/>
    <col min="12545" max="12545" width="36.42578125" style="862" customWidth="1"/>
    <col min="12546" max="12546" width="11.42578125" style="862" customWidth="1"/>
    <col min="12547" max="12547" width="14" style="862" customWidth="1"/>
    <col min="12548" max="12548" width="14.7109375" style="862" customWidth="1"/>
    <col min="12549" max="12549" width="15" style="862" customWidth="1"/>
    <col min="12550" max="12550" width="19.28515625" style="862" customWidth="1"/>
    <col min="12551" max="12800" width="9.140625" style="862"/>
    <col min="12801" max="12801" width="36.42578125" style="862" customWidth="1"/>
    <col min="12802" max="12802" width="11.42578125" style="862" customWidth="1"/>
    <col min="12803" max="12803" width="14" style="862" customWidth="1"/>
    <col min="12804" max="12804" width="14.7109375" style="862" customWidth="1"/>
    <col min="12805" max="12805" width="15" style="862" customWidth="1"/>
    <col min="12806" max="12806" width="19.28515625" style="862" customWidth="1"/>
    <col min="12807" max="13056" width="9.140625" style="862"/>
    <col min="13057" max="13057" width="36.42578125" style="862" customWidth="1"/>
    <col min="13058" max="13058" width="11.42578125" style="862" customWidth="1"/>
    <col min="13059" max="13059" width="14" style="862" customWidth="1"/>
    <col min="13060" max="13060" width="14.7109375" style="862" customWidth="1"/>
    <col min="13061" max="13061" width="15" style="862" customWidth="1"/>
    <col min="13062" max="13062" width="19.28515625" style="862" customWidth="1"/>
    <col min="13063" max="13312" width="9.140625" style="862"/>
    <col min="13313" max="13313" width="36.42578125" style="862" customWidth="1"/>
    <col min="13314" max="13314" width="11.42578125" style="862" customWidth="1"/>
    <col min="13315" max="13315" width="14" style="862" customWidth="1"/>
    <col min="13316" max="13316" width="14.7109375" style="862" customWidth="1"/>
    <col min="13317" max="13317" width="15" style="862" customWidth="1"/>
    <col min="13318" max="13318" width="19.28515625" style="862" customWidth="1"/>
    <col min="13319" max="13568" width="9.140625" style="862"/>
    <col min="13569" max="13569" width="36.42578125" style="862" customWidth="1"/>
    <col min="13570" max="13570" width="11.42578125" style="862" customWidth="1"/>
    <col min="13571" max="13571" width="14" style="862" customWidth="1"/>
    <col min="13572" max="13572" width="14.7109375" style="862" customWidth="1"/>
    <col min="13573" max="13573" width="15" style="862" customWidth="1"/>
    <col min="13574" max="13574" width="19.28515625" style="862" customWidth="1"/>
    <col min="13575" max="13824" width="9.140625" style="862"/>
    <col min="13825" max="13825" width="36.42578125" style="862" customWidth="1"/>
    <col min="13826" max="13826" width="11.42578125" style="862" customWidth="1"/>
    <col min="13827" max="13827" width="14" style="862" customWidth="1"/>
    <col min="13828" max="13828" width="14.7109375" style="862" customWidth="1"/>
    <col min="13829" max="13829" width="15" style="862" customWidth="1"/>
    <col min="13830" max="13830" width="19.28515625" style="862" customWidth="1"/>
    <col min="13831" max="14080" width="9.140625" style="862"/>
    <col min="14081" max="14081" width="36.42578125" style="862" customWidth="1"/>
    <col min="14082" max="14082" width="11.42578125" style="862" customWidth="1"/>
    <col min="14083" max="14083" width="14" style="862" customWidth="1"/>
    <col min="14084" max="14084" width="14.7109375" style="862" customWidth="1"/>
    <col min="14085" max="14085" width="15" style="862" customWidth="1"/>
    <col min="14086" max="14086" width="19.28515625" style="862" customWidth="1"/>
    <col min="14087" max="14336" width="9.140625" style="862"/>
    <col min="14337" max="14337" width="36.42578125" style="862" customWidth="1"/>
    <col min="14338" max="14338" width="11.42578125" style="862" customWidth="1"/>
    <col min="14339" max="14339" width="14" style="862" customWidth="1"/>
    <col min="14340" max="14340" width="14.7109375" style="862" customWidth="1"/>
    <col min="14341" max="14341" width="15" style="862" customWidth="1"/>
    <col min="14342" max="14342" width="19.28515625" style="862" customWidth="1"/>
    <col min="14343" max="14592" width="9.140625" style="862"/>
    <col min="14593" max="14593" width="36.42578125" style="862" customWidth="1"/>
    <col min="14594" max="14594" width="11.42578125" style="862" customWidth="1"/>
    <col min="14595" max="14595" width="14" style="862" customWidth="1"/>
    <col min="14596" max="14596" width="14.7109375" style="862" customWidth="1"/>
    <col min="14597" max="14597" width="15" style="862" customWidth="1"/>
    <col min="14598" max="14598" width="19.28515625" style="862" customWidth="1"/>
    <col min="14599" max="14848" width="9.140625" style="862"/>
    <col min="14849" max="14849" width="36.42578125" style="862" customWidth="1"/>
    <col min="14850" max="14850" width="11.42578125" style="862" customWidth="1"/>
    <col min="14851" max="14851" width="14" style="862" customWidth="1"/>
    <col min="14852" max="14852" width="14.7109375" style="862" customWidth="1"/>
    <col min="14853" max="14853" width="15" style="862" customWidth="1"/>
    <col min="14854" max="14854" width="19.28515625" style="862" customWidth="1"/>
    <col min="14855" max="15104" width="9.140625" style="862"/>
    <col min="15105" max="15105" width="36.42578125" style="862" customWidth="1"/>
    <col min="15106" max="15106" width="11.42578125" style="862" customWidth="1"/>
    <col min="15107" max="15107" width="14" style="862" customWidth="1"/>
    <col min="15108" max="15108" width="14.7109375" style="862" customWidth="1"/>
    <col min="15109" max="15109" width="15" style="862" customWidth="1"/>
    <col min="15110" max="15110" width="19.28515625" style="862" customWidth="1"/>
    <col min="15111" max="15360" width="9.140625" style="862"/>
    <col min="15361" max="15361" width="36.42578125" style="862" customWidth="1"/>
    <col min="15362" max="15362" width="11.42578125" style="862" customWidth="1"/>
    <col min="15363" max="15363" width="14" style="862" customWidth="1"/>
    <col min="15364" max="15364" width="14.7109375" style="862" customWidth="1"/>
    <col min="15365" max="15365" width="15" style="862" customWidth="1"/>
    <col min="15366" max="15366" width="19.28515625" style="862" customWidth="1"/>
    <col min="15367" max="15616" width="9.140625" style="862"/>
    <col min="15617" max="15617" width="36.42578125" style="862" customWidth="1"/>
    <col min="15618" max="15618" width="11.42578125" style="862" customWidth="1"/>
    <col min="15619" max="15619" width="14" style="862" customWidth="1"/>
    <col min="15620" max="15620" width="14.7109375" style="862" customWidth="1"/>
    <col min="15621" max="15621" width="15" style="862" customWidth="1"/>
    <col min="15622" max="15622" width="19.28515625" style="862" customWidth="1"/>
    <col min="15623" max="15872" width="9.140625" style="862"/>
    <col min="15873" max="15873" width="36.42578125" style="862" customWidth="1"/>
    <col min="15874" max="15874" width="11.42578125" style="862" customWidth="1"/>
    <col min="15875" max="15875" width="14" style="862" customWidth="1"/>
    <col min="15876" max="15876" width="14.7109375" style="862" customWidth="1"/>
    <col min="15877" max="15877" width="15" style="862" customWidth="1"/>
    <col min="15878" max="15878" width="19.28515625" style="862" customWidth="1"/>
    <col min="15879" max="16128" width="9.140625" style="862"/>
    <col min="16129" max="16129" width="36.42578125" style="862" customWidth="1"/>
    <col min="16130" max="16130" width="11.42578125" style="862" customWidth="1"/>
    <col min="16131" max="16131" width="14" style="862" customWidth="1"/>
    <col min="16132" max="16132" width="14.7109375" style="862" customWidth="1"/>
    <col min="16133" max="16133" width="15" style="862" customWidth="1"/>
    <col min="16134" max="16134" width="19.28515625" style="862" customWidth="1"/>
    <col min="16135" max="16384" width="9.140625" style="862"/>
  </cols>
  <sheetData>
    <row r="1" spans="1:8" x14ac:dyDescent="0.25">
      <c r="A1" s="861" t="s">
        <v>616</v>
      </c>
    </row>
    <row r="2" spans="1:8" ht="57" customHeight="1" x14ac:dyDescent="0.25">
      <c r="A2" s="517" t="s">
        <v>560</v>
      </c>
      <c r="B2" s="525" t="s">
        <v>561</v>
      </c>
      <c r="C2" s="525" t="s">
        <v>562</v>
      </c>
      <c r="D2" s="525" t="s">
        <v>563</v>
      </c>
      <c r="E2" s="525" t="s">
        <v>564</v>
      </c>
    </row>
    <row r="3" spans="1:8" x14ac:dyDescent="0.25">
      <c r="A3" s="519" t="s">
        <v>591</v>
      </c>
      <c r="B3" s="864" t="s">
        <v>528</v>
      </c>
      <c r="C3" s="522">
        <v>149</v>
      </c>
      <c r="D3" s="864">
        <v>236</v>
      </c>
      <c r="E3" s="864">
        <v>224</v>
      </c>
    </row>
    <row r="4" spans="1:8" x14ac:dyDescent="0.25">
      <c r="A4" s="519" t="s">
        <v>348</v>
      </c>
      <c r="B4" s="863">
        <v>811</v>
      </c>
      <c r="C4" s="522">
        <v>457</v>
      </c>
      <c r="D4" s="864">
        <v>722</v>
      </c>
      <c r="E4" s="864">
        <v>685</v>
      </c>
      <c r="F4" s="862" t="s">
        <v>565</v>
      </c>
    </row>
    <row r="5" spans="1:8" ht="15" customHeight="1" x14ac:dyDescent="0.25">
      <c r="A5" s="519" t="s">
        <v>441</v>
      </c>
      <c r="B5" s="863">
        <v>643</v>
      </c>
      <c r="C5" s="522">
        <v>536</v>
      </c>
      <c r="D5" s="864">
        <v>848</v>
      </c>
      <c r="E5" s="864">
        <v>803</v>
      </c>
      <c r="F5" s="862" t="s">
        <v>566</v>
      </c>
    </row>
    <row r="6" spans="1:8" x14ac:dyDescent="0.25">
      <c r="A6" s="519" t="s">
        <v>357</v>
      </c>
      <c r="B6" s="863">
        <v>432</v>
      </c>
      <c r="C6" s="522">
        <v>184</v>
      </c>
      <c r="D6" s="864">
        <v>292</v>
      </c>
      <c r="E6" s="864">
        <v>277</v>
      </c>
      <c r="F6" s="524" t="s">
        <v>613</v>
      </c>
      <c r="G6" s="865"/>
      <c r="H6" s="865"/>
    </row>
    <row r="7" spans="1:8" x14ac:dyDescent="0.25">
      <c r="A7" s="519" t="s">
        <v>358</v>
      </c>
      <c r="B7" s="863">
        <v>411</v>
      </c>
      <c r="C7" s="522">
        <v>176</v>
      </c>
      <c r="D7" s="864">
        <v>278</v>
      </c>
      <c r="E7" s="864">
        <v>264</v>
      </c>
      <c r="F7" s="865"/>
      <c r="G7" s="865"/>
      <c r="H7" s="865"/>
    </row>
    <row r="8" spans="1:8" x14ac:dyDescent="0.25">
      <c r="A8" s="519" t="s">
        <v>359</v>
      </c>
      <c r="B8" s="863">
        <v>253</v>
      </c>
      <c r="C8" s="522">
        <v>128</v>
      </c>
      <c r="D8" s="864">
        <v>201</v>
      </c>
      <c r="E8" s="864">
        <v>191</v>
      </c>
      <c r="F8" s="524" t="s">
        <v>567</v>
      </c>
      <c r="G8" s="865"/>
      <c r="H8" s="865"/>
    </row>
    <row r="9" spans="1:8" ht="15" customHeight="1" x14ac:dyDescent="0.25">
      <c r="A9" s="519" t="s">
        <v>440</v>
      </c>
      <c r="B9" s="863">
        <v>474</v>
      </c>
      <c r="C9" s="522">
        <v>395</v>
      </c>
      <c r="D9" s="864">
        <v>625</v>
      </c>
      <c r="E9" s="864">
        <v>593</v>
      </c>
      <c r="F9" s="865"/>
      <c r="G9" s="865"/>
      <c r="H9" s="865"/>
    </row>
    <row r="10" spans="1:8" ht="15" customHeight="1" x14ac:dyDescent="0.25">
      <c r="A10" s="519" t="s">
        <v>497</v>
      </c>
      <c r="B10" s="863">
        <v>400</v>
      </c>
      <c r="C10" s="522">
        <v>220</v>
      </c>
      <c r="D10" s="864">
        <v>347</v>
      </c>
      <c r="E10" s="864">
        <v>329</v>
      </c>
      <c r="F10" s="524" t="s">
        <v>614</v>
      </c>
      <c r="G10" s="865"/>
      <c r="H10" s="865"/>
    </row>
    <row r="11" spans="1:8" x14ac:dyDescent="0.25">
      <c r="A11" s="519" t="s">
        <v>360</v>
      </c>
      <c r="B11" s="863">
        <v>369</v>
      </c>
      <c r="C11" s="522">
        <v>158</v>
      </c>
      <c r="D11" s="864">
        <v>250</v>
      </c>
      <c r="E11" s="864">
        <v>237</v>
      </c>
      <c r="F11" s="865"/>
      <c r="G11" s="865" t="s">
        <v>587</v>
      </c>
      <c r="H11" s="865"/>
    </row>
    <row r="12" spans="1:8" x14ac:dyDescent="0.25">
      <c r="A12" s="519" t="s">
        <v>346</v>
      </c>
      <c r="B12" s="863">
        <v>274</v>
      </c>
      <c r="C12" s="522">
        <v>106</v>
      </c>
      <c r="D12" s="864">
        <v>167</v>
      </c>
      <c r="E12" s="864">
        <v>158</v>
      </c>
      <c r="F12" s="865"/>
      <c r="G12" s="865" t="s">
        <v>568</v>
      </c>
      <c r="H12" s="865"/>
    </row>
    <row r="13" spans="1:8" x14ac:dyDescent="0.25">
      <c r="A13" s="519" t="s">
        <v>349</v>
      </c>
      <c r="B13" s="863">
        <v>422</v>
      </c>
      <c r="C13" s="522">
        <v>198</v>
      </c>
      <c r="D13" s="864">
        <v>313</v>
      </c>
      <c r="E13" s="864">
        <v>297</v>
      </c>
      <c r="F13" s="865"/>
      <c r="G13" s="865" t="s">
        <v>615</v>
      </c>
      <c r="H13" s="865"/>
    </row>
    <row r="14" spans="1:8" x14ac:dyDescent="0.25">
      <c r="A14" s="519" t="s">
        <v>390</v>
      </c>
      <c r="B14" s="863">
        <v>895</v>
      </c>
      <c r="C14" s="522">
        <v>860</v>
      </c>
      <c r="D14" s="522">
        <v>1361</v>
      </c>
      <c r="E14" s="522">
        <v>1289</v>
      </c>
      <c r="G14" s="865" t="s">
        <v>569</v>
      </c>
    </row>
    <row r="15" spans="1:8" x14ac:dyDescent="0.25">
      <c r="A15" s="519" t="s">
        <v>592</v>
      </c>
      <c r="B15" s="864" t="s">
        <v>528</v>
      </c>
      <c r="C15" s="522">
        <v>1053</v>
      </c>
      <c r="D15" s="864">
        <v>1667</v>
      </c>
      <c r="E15" s="864">
        <v>1579</v>
      </c>
      <c r="G15" s="865"/>
    </row>
    <row r="16" spans="1:8" x14ac:dyDescent="0.25">
      <c r="A16" s="519" t="s">
        <v>433</v>
      </c>
      <c r="B16" s="863">
        <v>285</v>
      </c>
      <c r="C16" s="522">
        <v>154</v>
      </c>
      <c r="D16" s="864">
        <v>243</v>
      </c>
      <c r="E16" s="864">
        <v>231</v>
      </c>
      <c r="G16" s="865"/>
    </row>
    <row r="17" spans="1:15" x14ac:dyDescent="0.25">
      <c r="A17" s="519" t="s">
        <v>593</v>
      </c>
      <c r="B17" s="864" t="s">
        <v>528</v>
      </c>
      <c r="C17" s="522">
        <v>596</v>
      </c>
      <c r="D17" s="864">
        <v>944</v>
      </c>
      <c r="E17" s="864">
        <v>895</v>
      </c>
      <c r="G17" s="865"/>
    </row>
    <row r="18" spans="1:15" x14ac:dyDescent="0.25">
      <c r="A18" s="866" t="s">
        <v>374</v>
      </c>
      <c r="B18" s="863" t="s">
        <v>528</v>
      </c>
      <c r="C18" s="522">
        <v>456</v>
      </c>
      <c r="D18" s="864">
        <v>722</v>
      </c>
      <c r="E18" s="864">
        <v>684</v>
      </c>
      <c r="G18" s="865"/>
    </row>
    <row r="19" spans="1:15" x14ac:dyDescent="0.25">
      <c r="A19" s="519" t="s">
        <v>350</v>
      </c>
      <c r="B19" s="863" t="s">
        <v>528</v>
      </c>
      <c r="C19" s="522">
        <v>316</v>
      </c>
      <c r="D19" s="864">
        <v>500</v>
      </c>
      <c r="E19" s="864">
        <v>474</v>
      </c>
      <c r="G19" s="865"/>
    </row>
    <row r="20" spans="1:15" ht="15" customHeight="1" x14ac:dyDescent="0.25">
      <c r="A20" s="519" t="s">
        <v>361</v>
      </c>
      <c r="B20" s="863">
        <v>358</v>
      </c>
      <c r="C20" s="522">
        <v>128</v>
      </c>
      <c r="D20" s="864">
        <v>201</v>
      </c>
      <c r="E20" s="864">
        <v>191</v>
      </c>
      <c r="G20" s="1390"/>
      <c r="H20" s="1390"/>
      <c r="I20" s="1390"/>
      <c r="J20" s="1390"/>
      <c r="K20" s="1390"/>
      <c r="L20" s="1390"/>
      <c r="M20" s="1390"/>
      <c r="N20" s="1390"/>
      <c r="O20" s="1390"/>
    </row>
    <row r="21" spans="1:15" x14ac:dyDescent="0.25">
      <c r="A21" s="866" t="s">
        <v>375</v>
      </c>
      <c r="B21" s="863" t="s">
        <v>528</v>
      </c>
      <c r="C21" s="522">
        <v>448</v>
      </c>
      <c r="D21" s="864">
        <v>708</v>
      </c>
      <c r="E21" s="864">
        <v>672</v>
      </c>
      <c r="G21" s="1390"/>
      <c r="H21" s="1390"/>
      <c r="I21" s="1390"/>
      <c r="J21" s="1390"/>
      <c r="K21" s="1390"/>
      <c r="L21" s="1390"/>
      <c r="M21" s="1390"/>
      <c r="N21" s="1390"/>
      <c r="O21" s="1390"/>
    </row>
    <row r="22" spans="1:15" x14ac:dyDescent="0.25">
      <c r="A22" s="519" t="s">
        <v>594</v>
      </c>
      <c r="B22" s="864" t="s">
        <v>528</v>
      </c>
      <c r="C22" s="522">
        <v>75</v>
      </c>
      <c r="D22" s="864">
        <v>118</v>
      </c>
      <c r="E22" s="864">
        <v>112</v>
      </c>
      <c r="G22" s="1390"/>
      <c r="H22" s="1390"/>
      <c r="I22" s="1390"/>
      <c r="J22" s="1390"/>
      <c r="K22" s="1390"/>
      <c r="L22" s="1390"/>
      <c r="M22" s="1390"/>
      <c r="N22" s="1390"/>
      <c r="O22" s="1390"/>
    </row>
    <row r="23" spans="1:15" x14ac:dyDescent="0.25">
      <c r="A23" s="519" t="s">
        <v>449</v>
      </c>
      <c r="B23" s="863">
        <v>264</v>
      </c>
      <c r="C23" s="522">
        <v>220</v>
      </c>
      <c r="D23" s="864">
        <v>349</v>
      </c>
      <c r="E23" s="864">
        <v>329</v>
      </c>
      <c r="G23" s="1390"/>
      <c r="H23" s="1390"/>
      <c r="I23" s="1390"/>
      <c r="J23" s="1390"/>
      <c r="K23" s="1390"/>
      <c r="L23" s="1390"/>
      <c r="M23" s="1390"/>
      <c r="N23" s="1390"/>
      <c r="O23" s="1390"/>
    </row>
    <row r="24" spans="1:15" x14ac:dyDescent="0.25">
      <c r="A24" s="519" t="s">
        <v>418</v>
      </c>
      <c r="B24" s="863">
        <v>316</v>
      </c>
      <c r="C24" s="522">
        <v>167</v>
      </c>
      <c r="D24" s="864">
        <v>264</v>
      </c>
      <c r="E24" s="864">
        <v>250</v>
      </c>
      <c r="G24" s="1390"/>
      <c r="H24" s="1390"/>
      <c r="I24" s="1390"/>
      <c r="J24" s="1390"/>
      <c r="K24" s="1390"/>
      <c r="L24" s="1390"/>
      <c r="M24" s="1390"/>
      <c r="N24" s="1390"/>
      <c r="O24" s="1390"/>
    </row>
    <row r="25" spans="1:15" ht="15.75" customHeight="1" x14ac:dyDescent="0.25">
      <c r="A25" s="519" t="s">
        <v>527</v>
      </c>
      <c r="B25" s="863">
        <v>579</v>
      </c>
      <c r="C25" s="522">
        <v>483</v>
      </c>
      <c r="D25" s="864">
        <v>764</v>
      </c>
      <c r="E25" s="864">
        <v>724</v>
      </c>
    </row>
    <row r="26" spans="1:15" x14ac:dyDescent="0.25">
      <c r="A26" s="519" t="s">
        <v>420</v>
      </c>
      <c r="B26" s="863">
        <v>664</v>
      </c>
      <c r="C26" s="522">
        <v>360</v>
      </c>
      <c r="D26" s="864">
        <v>569</v>
      </c>
      <c r="E26" s="864">
        <v>540</v>
      </c>
    </row>
    <row r="27" spans="1:15" x14ac:dyDescent="0.25">
      <c r="A27" s="519" t="s">
        <v>595</v>
      </c>
      <c r="B27" s="864" t="s">
        <v>528</v>
      </c>
      <c r="C27" s="522">
        <v>228</v>
      </c>
      <c r="D27" s="864">
        <v>361</v>
      </c>
      <c r="E27" s="864">
        <v>342</v>
      </c>
    </row>
    <row r="28" spans="1:15" x14ac:dyDescent="0.25">
      <c r="A28" s="519" t="s">
        <v>498</v>
      </c>
      <c r="B28" s="863">
        <v>474</v>
      </c>
      <c r="C28" s="522">
        <v>395</v>
      </c>
      <c r="D28" s="864">
        <v>625</v>
      </c>
      <c r="E28" s="864">
        <v>593</v>
      </c>
    </row>
    <row r="29" spans="1:15" x14ac:dyDescent="0.25">
      <c r="A29" s="519" t="s">
        <v>362</v>
      </c>
      <c r="B29" s="863">
        <v>422</v>
      </c>
      <c r="C29" s="522">
        <v>167</v>
      </c>
      <c r="D29" s="864">
        <v>264</v>
      </c>
      <c r="E29" s="864">
        <v>250</v>
      </c>
    </row>
    <row r="30" spans="1:15" x14ac:dyDescent="0.25">
      <c r="A30" s="519" t="s">
        <v>351</v>
      </c>
      <c r="B30" s="863">
        <v>422</v>
      </c>
      <c r="C30" s="522">
        <v>198</v>
      </c>
      <c r="D30" s="864">
        <v>313</v>
      </c>
      <c r="E30" s="864">
        <v>297</v>
      </c>
    </row>
    <row r="31" spans="1:15" x14ac:dyDescent="0.25">
      <c r="A31" s="519" t="s">
        <v>363</v>
      </c>
      <c r="B31" s="863">
        <v>379</v>
      </c>
      <c r="C31" s="522">
        <v>110</v>
      </c>
      <c r="D31" s="864">
        <v>174</v>
      </c>
      <c r="E31" s="864">
        <v>165</v>
      </c>
    </row>
    <row r="32" spans="1:15" x14ac:dyDescent="0.25">
      <c r="A32" s="519" t="s">
        <v>347</v>
      </c>
      <c r="B32" s="863">
        <v>274</v>
      </c>
      <c r="C32" s="522">
        <v>106</v>
      </c>
      <c r="D32" s="864">
        <v>167</v>
      </c>
      <c r="E32" s="864">
        <v>158</v>
      </c>
    </row>
    <row r="33" spans="1:5" x14ac:dyDescent="0.25">
      <c r="A33" s="519" t="s">
        <v>354</v>
      </c>
      <c r="B33" s="863">
        <v>1074</v>
      </c>
      <c r="C33" s="522">
        <v>658</v>
      </c>
      <c r="D33" s="864">
        <v>1042</v>
      </c>
      <c r="E33" s="864">
        <v>987</v>
      </c>
    </row>
    <row r="34" spans="1:5" x14ac:dyDescent="0.25">
      <c r="A34" s="519" t="s">
        <v>450</v>
      </c>
      <c r="B34" s="863">
        <v>211</v>
      </c>
      <c r="C34" s="522">
        <v>176</v>
      </c>
      <c r="D34" s="864">
        <v>278</v>
      </c>
      <c r="E34" s="864">
        <v>264</v>
      </c>
    </row>
    <row r="35" spans="1:5" ht="15" customHeight="1" x14ac:dyDescent="0.25">
      <c r="A35" s="519" t="s">
        <v>356</v>
      </c>
      <c r="B35" s="863">
        <v>464</v>
      </c>
      <c r="C35" s="522">
        <v>198</v>
      </c>
      <c r="D35" s="864">
        <v>313</v>
      </c>
      <c r="E35" s="864">
        <v>297</v>
      </c>
    </row>
    <row r="36" spans="1:5" ht="15" customHeight="1" x14ac:dyDescent="0.25">
      <c r="A36" s="519" t="s">
        <v>596</v>
      </c>
      <c r="B36" s="864" t="s">
        <v>528</v>
      </c>
      <c r="C36" s="522">
        <v>79</v>
      </c>
      <c r="D36" s="864">
        <v>125</v>
      </c>
      <c r="E36" s="864">
        <v>118</v>
      </c>
    </row>
    <row r="37" spans="1:5" x14ac:dyDescent="0.25">
      <c r="A37" s="899" t="s">
        <v>597</v>
      </c>
      <c r="B37" s="817" t="s">
        <v>528</v>
      </c>
      <c r="C37" s="817">
        <v>149</v>
      </c>
      <c r="D37" s="817">
        <v>236</v>
      </c>
      <c r="E37" s="817">
        <v>224</v>
      </c>
    </row>
    <row r="38" spans="1:5" x14ac:dyDescent="0.25">
      <c r="A38" s="519" t="s">
        <v>499</v>
      </c>
      <c r="B38" s="863">
        <v>316</v>
      </c>
      <c r="C38" s="522">
        <v>263</v>
      </c>
      <c r="D38" s="864">
        <v>417</v>
      </c>
      <c r="E38" s="864">
        <v>395</v>
      </c>
    </row>
    <row r="39" spans="1:5" x14ac:dyDescent="0.25">
      <c r="A39" s="519" t="s">
        <v>364</v>
      </c>
      <c r="B39" s="863">
        <v>400</v>
      </c>
      <c r="C39" s="522">
        <v>136</v>
      </c>
      <c r="D39" s="864">
        <v>215</v>
      </c>
      <c r="E39" s="864">
        <v>204</v>
      </c>
    </row>
    <row r="40" spans="1:5" x14ac:dyDescent="0.25">
      <c r="A40" s="866" t="s">
        <v>451</v>
      </c>
      <c r="B40" s="863">
        <v>264</v>
      </c>
      <c r="C40" s="522">
        <v>220</v>
      </c>
      <c r="D40" s="864">
        <v>348</v>
      </c>
      <c r="E40" s="864">
        <v>329</v>
      </c>
    </row>
    <row r="41" spans="1:5" x14ac:dyDescent="0.25">
      <c r="A41" s="866" t="s">
        <v>500</v>
      </c>
      <c r="B41" s="864">
        <v>348</v>
      </c>
      <c r="C41" s="522">
        <v>290</v>
      </c>
      <c r="D41" s="864">
        <v>459</v>
      </c>
      <c r="E41" s="864">
        <v>435</v>
      </c>
    </row>
    <row r="42" spans="1:5" x14ac:dyDescent="0.25">
      <c r="A42" s="519" t="s">
        <v>355</v>
      </c>
      <c r="B42" s="863">
        <v>537</v>
      </c>
      <c r="C42" s="522">
        <v>254</v>
      </c>
      <c r="D42" s="864">
        <v>403</v>
      </c>
      <c r="E42" s="864">
        <v>382</v>
      </c>
    </row>
    <row r="43" spans="1:5" x14ac:dyDescent="0.25">
      <c r="A43" s="866" t="s">
        <v>372</v>
      </c>
      <c r="B43" s="867">
        <v>664</v>
      </c>
      <c r="C43" s="522">
        <v>360</v>
      </c>
      <c r="D43" s="864">
        <v>569</v>
      </c>
      <c r="E43" s="864">
        <v>540</v>
      </c>
    </row>
    <row r="44" spans="1:5" x14ac:dyDescent="0.25">
      <c r="A44" s="519" t="s">
        <v>598</v>
      </c>
      <c r="B44" s="864" t="s">
        <v>528</v>
      </c>
      <c r="C44" s="522">
        <v>281</v>
      </c>
      <c r="D44" s="864">
        <v>444</v>
      </c>
      <c r="E44" s="864">
        <v>421</v>
      </c>
    </row>
    <row r="45" spans="1:5" ht="60" x14ac:dyDescent="0.25">
      <c r="A45" s="868" t="s">
        <v>570</v>
      </c>
      <c r="B45" s="863">
        <v>80</v>
      </c>
      <c r="C45" s="522">
        <v>67</v>
      </c>
      <c r="D45" s="864">
        <v>106</v>
      </c>
      <c r="E45" s="864">
        <v>100</v>
      </c>
    </row>
    <row r="46" spans="1:5" ht="195" x14ac:dyDescent="0.25">
      <c r="A46" s="868" t="s">
        <v>571</v>
      </c>
      <c r="B46" s="863">
        <v>200</v>
      </c>
      <c r="C46" s="522">
        <v>167</v>
      </c>
      <c r="D46" s="864">
        <v>264</v>
      </c>
      <c r="E46" s="864">
        <v>250</v>
      </c>
    </row>
    <row r="47" spans="1:5" ht="173.25" x14ac:dyDescent="0.25">
      <c r="A47" s="868" t="s">
        <v>572</v>
      </c>
      <c r="B47" s="863">
        <v>400</v>
      </c>
      <c r="C47" s="522">
        <v>333</v>
      </c>
      <c r="D47" s="864">
        <v>528</v>
      </c>
      <c r="E47" s="864">
        <v>500</v>
      </c>
    </row>
    <row r="48" spans="1:5" x14ac:dyDescent="0.25">
      <c r="A48" s="519" t="s">
        <v>599</v>
      </c>
      <c r="B48" s="864" t="s">
        <v>528</v>
      </c>
      <c r="C48" s="522">
        <v>807</v>
      </c>
      <c r="D48" s="864">
        <v>1278</v>
      </c>
      <c r="E48" s="864">
        <v>1211</v>
      </c>
    </row>
    <row r="49" spans="1:5" x14ac:dyDescent="0.25">
      <c r="A49" s="866" t="s">
        <v>443</v>
      </c>
      <c r="B49" s="863">
        <v>979</v>
      </c>
      <c r="C49" s="522">
        <v>816</v>
      </c>
      <c r="D49" s="864">
        <v>1292</v>
      </c>
      <c r="E49" s="864">
        <v>1224</v>
      </c>
    </row>
    <row r="50" spans="1:5" x14ac:dyDescent="0.25">
      <c r="A50" s="866" t="s">
        <v>373</v>
      </c>
      <c r="B50" s="863" t="s">
        <v>528</v>
      </c>
      <c r="C50" s="522">
        <v>614</v>
      </c>
      <c r="D50" s="864">
        <v>972</v>
      </c>
      <c r="E50" s="864">
        <v>922</v>
      </c>
    </row>
    <row r="51" spans="1:5" x14ac:dyDescent="0.25">
      <c r="A51" s="519" t="s">
        <v>352</v>
      </c>
      <c r="B51" s="863" t="s">
        <v>528</v>
      </c>
      <c r="C51" s="522">
        <v>316</v>
      </c>
      <c r="D51" s="864">
        <v>500</v>
      </c>
      <c r="E51" s="864">
        <v>474</v>
      </c>
    </row>
    <row r="52" spans="1:5" x14ac:dyDescent="0.25">
      <c r="A52" s="519" t="s">
        <v>391</v>
      </c>
      <c r="B52" s="863">
        <v>590</v>
      </c>
      <c r="C52" s="522">
        <v>492</v>
      </c>
      <c r="D52" s="864">
        <v>778</v>
      </c>
      <c r="E52" s="864">
        <v>737</v>
      </c>
    </row>
    <row r="53" spans="1:5" x14ac:dyDescent="0.25">
      <c r="A53" s="866" t="s">
        <v>353</v>
      </c>
      <c r="B53" s="818">
        <v>432</v>
      </c>
      <c r="C53" s="522">
        <v>360</v>
      </c>
      <c r="D53" s="522">
        <v>570</v>
      </c>
      <c r="E53" s="864">
        <v>540</v>
      </c>
    </row>
    <row r="54" spans="1:5" x14ac:dyDescent="0.25">
      <c r="A54" s="866" t="s">
        <v>452</v>
      </c>
      <c r="B54" s="818">
        <v>200</v>
      </c>
      <c r="C54" s="522">
        <v>167</v>
      </c>
      <c r="D54" s="522">
        <v>264</v>
      </c>
      <c r="E54" s="864">
        <v>250</v>
      </c>
    </row>
    <row r="55" spans="1:5" x14ac:dyDescent="0.25">
      <c r="A55" s="866" t="s">
        <v>453</v>
      </c>
      <c r="B55" s="818">
        <v>274</v>
      </c>
      <c r="C55" s="522">
        <v>228</v>
      </c>
      <c r="D55" s="522">
        <v>362</v>
      </c>
      <c r="E55" s="864">
        <v>343</v>
      </c>
    </row>
    <row r="56" spans="1:5" x14ac:dyDescent="0.25">
      <c r="A56" s="866" t="s">
        <v>376</v>
      </c>
      <c r="B56" s="818" t="s">
        <v>528</v>
      </c>
      <c r="C56" s="522">
        <v>790</v>
      </c>
      <c r="D56" s="522">
        <v>1250</v>
      </c>
      <c r="E56" s="864">
        <v>1185</v>
      </c>
    </row>
    <row r="57" spans="1:5" ht="71.25" x14ac:dyDescent="0.25">
      <c r="A57" s="868" t="s">
        <v>573</v>
      </c>
      <c r="B57" s="818">
        <v>80</v>
      </c>
      <c r="C57" s="522">
        <v>67</v>
      </c>
      <c r="D57" s="522">
        <v>106</v>
      </c>
      <c r="E57" s="864">
        <v>100</v>
      </c>
    </row>
    <row r="58" spans="1:5" ht="22.5" x14ac:dyDescent="0.25">
      <c r="A58" s="868" t="s">
        <v>574</v>
      </c>
      <c r="B58" s="818">
        <v>158</v>
      </c>
      <c r="C58" s="522">
        <v>132</v>
      </c>
      <c r="D58" s="522">
        <v>209</v>
      </c>
      <c r="E58" s="864">
        <v>198</v>
      </c>
    </row>
    <row r="59" spans="1:5" x14ac:dyDescent="0.25">
      <c r="A59" s="519" t="s">
        <v>600</v>
      </c>
      <c r="B59" s="522" t="s">
        <v>528</v>
      </c>
      <c r="C59" s="522">
        <v>526</v>
      </c>
      <c r="D59" s="522">
        <v>833</v>
      </c>
      <c r="E59" s="864">
        <v>789</v>
      </c>
    </row>
    <row r="60" spans="1:5" x14ac:dyDescent="0.25">
      <c r="A60" s="519" t="s">
        <v>601</v>
      </c>
      <c r="B60" s="522" t="s">
        <v>528</v>
      </c>
      <c r="C60" s="522">
        <v>289</v>
      </c>
      <c r="D60" s="522">
        <v>458</v>
      </c>
      <c r="E60" s="864">
        <v>434</v>
      </c>
    </row>
    <row r="61" spans="1:5" x14ac:dyDescent="0.25">
      <c r="A61" s="866" t="s">
        <v>370</v>
      </c>
      <c r="B61" s="818">
        <v>611</v>
      </c>
      <c r="C61" s="522">
        <v>298</v>
      </c>
      <c r="D61" s="522">
        <v>472</v>
      </c>
      <c r="E61" s="864">
        <v>448</v>
      </c>
    </row>
    <row r="62" spans="1:5" x14ac:dyDescent="0.25">
      <c r="A62" s="866" t="s">
        <v>365</v>
      </c>
      <c r="B62" s="818">
        <v>274</v>
      </c>
      <c r="C62" s="522">
        <v>40</v>
      </c>
      <c r="D62" s="522">
        <v>64</v>
      </c>
      <c r="E62" s="864">
        <v>61</v>
      </c>
    </row>
    <row r="63" spans="1:5" x14ac:dyDescent="0.25">
      <c r="A63" s="866" t="s">
        <v>401</v>
      </c>
      <c r="B63" s="818">
        <v>243</v>
      </c>
      <c r="C63" s="522">
        <v>203</v>
      </c>
      <c r="D63" s="522">
        <v>320</v>
      </c>
      <c r="E63" s="864">
        <v>303</v>
      </c>
    </row>
    <row r="64" spans="1:5" x14ac:dyDescent="0.25">
      <c r="A64" s="866" t="s">
        <v>454</v>
      </c>
      <c r="B64" s="818">
        <v>369</v>
      </c>
      <c r="C64" s="522">
        <v>308</v>
      </c>
      <c r="D64" s="522">
        <v>487</v>
      </c>
      <c r="E64" s="864">
        <v>461</v>
      </c>
    </row>
    <row r="65" spans="1:5" x14ac:dyDescent="0.25">
      <c r="A65" s="866" t="s">
        <v>506</v>
      </c>
      <c r="B65" s="818">
        <v>464</v>
      </c>
      <c r="C65" s="522">
        <v>387</v>
      </c>
      <c r="D65" s="522">
        <v>612</v>
      </c>
      <c r="E65" s="864">
        <v>579</v>
      </c>
    </row>
    <row r="66" spans="1:5" x14ac:dyDescent="0.25">
      <c r="A66" s="866" t="s">
        <v>366</v>
      </c>
      <c r="B66" s="818">
        <v>390</v>
      </c>
      <c r="C66" s="522">
        <v>193</v>
      </c>
      <c r="D66" s="522">
        <v>306</v>
      </c>
      <c r="E66" s="864">
        <v>290</v>
      </c>
    </row>
    <row r="67" spans="1:5" x14ac:dyDescent="0.25">
      <c r="A67" s="866" t="s">
        <v>371</v>
      </c>
      <c r="B67" s="818">
        <v>643</v>
      </c>
      <c r="C67" s="522">
        <v>439</v>
      </c>
      <c r="D67" s="522">
        <v>694</v>
      </c>
      <c r="E67" s="864">
        <v>658</v>
      </c>
    </row>
    <row r="68" spans="1:5" x14ac:dyDescent="0.25">
      <c r="A68" s="866" t="s">
        <v>419</v>
      </c>
      <c r="B68" s="818">
        <v>348</v>
      </c>
      <c r="C68" s="522">
        <v>132</v>
      </c>
      <c r="D68" s="522">
        <v>208</v>
      </c>
      <c r="E68" s="864">
        <v>198</v>
      </c>
    </row>
    <row r="69" spans="1:5" x14ac:dyDescent="0.25">
      <c r="A69" s="866" t="s">
        <v>367</v>
      </c>
      <c r="B69" s="818">
        <v>337</v>
      </c>
      <c r="C69" s="522">
        <v>167</v>
      </c>
      <c r="D69" s="522">
        <v>264</v>
      </c>
      <c r="E69" s="864">
        <v>250</v>
      </c>
    </row>
    <row r="70" spans="1:5" x14ac:dyDescent="0.25">
      <c r="A70" s="519" t="s">
        <v>602</v>
      </c>
      <c r="B70" s="522" t="s">
        <v>528</v>
      </c>
      <c r="C70" s="522">
        <v>70</v>
      </c>
      <c r="D70" s="522">
        <v>111</v>
      </c>
      <c r="E70" s="864">
        <v>105</v>
      </c>
    </row>
    <row r="71" spans="1:5" x14ac:dyDescent="0.25">
      <c r="A71" s="866" t="s">
        <v>368</v>
      </c>
      <c r="B71" s="818">
        <v>422</v>
      </c>
      <c r="C71" s="522">
        <v>105</v>
      </c>
      <c r="D71" s="522">
        <v>167</v>
      </c>
      <c r="E71" s="864">
        <v>158</v>
      </c>
    </row>
    <row r="72" spans="1:5" x14ac:dyDescent="0.25">
      <c r="A72" s="866" t="s">
        <v>507</v>
      </c>
      <c r="B72" s="818">
        <v>600</v>
      </c>
      <c r="C72" s="522">
        <v>500</v>
      </c>
      <c r="D72" s="522">
        <v>792</v>
      </c>
      <c r="E72" s="864">
        <v>750</v>
      </c>
    </row>
    <row r="73" spans="1:5" x14ac:dyDescent="0.25">
      <c r="A73" s="866" t="s">
        <v>508</v>
      </c>
      <c r="B73" s="818">
        <v>179</v>
      </c>
      <c r="C73" s="522">
        <v>149</v>
      </c>
      <c r="D73" s="522">
        <v>237</v>
      </c>
      <c r="E73" s="864">
        <v>224</v>
      </c>
    </row>
    <row r="74" spans="1:5" x14ac:dyDescent="0.25">
      <c r="A74" s="866" t="s">
        <v>455</v>
      </c>
      <c r="B74" s="818">
        <v>232</v>
      </c>
      <c r="C74" s="522">
        <v>193</v>
      </c>
      <c r="D74" s="522">
        <v>306</v>
      </c>
      <c r="E74" s="864">
        <v>290</v>
      </c>
    </row>
    <row r="75" spans="1:5" x14ac:dyDescent="0.25">
      <c r="A75" s="519" t="s">
        <v>603</v>
      </c>
      <c r="B75" s="522" t="s">
        <v>528</v>
      </c>
      <c r="C75" s="522">
        <v>667</v>
      </c>
      <c r="D75" s="522">
        <v>1056</v>
      </c>
      <c r="E75" s="864">
        <v>1000</v>
      </c>
    </row>
    <row r="76" spans="1:5" x14ac:dyDescent="0.25">
      <c r="A76" s="866" t="s">
        <v>403</v>
      </c>
      <c r="B76" s="818">
        <v>1158</v>
      </c>
      <c r="C76" s="522">
        <v>965</v>
      </c>
      <c r="D76" s="522">
        <v>1528</v>
      </c>
      <c r="E76" s="864">
        <v>1448</v>
      </c>
    </row>
    <row r="77" spans="1:5" x14ac:dyDescent="0.25">
      <c r="A77" s="866" t="s">
        <v>509</v>
      </c>
      <c r="B77" s="818">
        <v>443</v>
      </c>
      <c r="C77" s="522">
        <v>369</v>
      </c>
      <c r="D77" s="522">
        <v>584</v>
      </c>
      <c r="E77" s="864">
        <v>553</v>
      </c>
    </row>
    <row r="78" spans="1:5" x14ac:dyDescent="0.25">
      <c r="A78" s="866" t="s">
        <v>377</v>
      </c>
      <c r="B78" s="818" t="s">
        <v>528</v>
      </c>
      <c r="C78" s="522">
        <v>658</v>
      </c>
      <c r="D78" s="522">
        <v>1042</v>
      </c>
      <c r="E78" s="864">
        <v>987</v>
      </c>
    </row>
    <row r="79" spans="1:5" x14ac:dyDescent="0.25">
      <c r="A79" s="866" t="s">
        <v>510</v>
      </c>
      <c r="B79" s="818">
        <v>179</v>
      </c>
      <c r="C79" s="522">
        <v>149</v>
      </c>
      <c r="D79" s="522">
        <v>237</v>
      </c>
      <c r="E79" s="864">
        <v>224</v>
      </c>
    </row>
    <row r="80" spans="1:5" x14ac:dyDescent="0.25">
      <c r="A80" s="866" t="s">
        <v>511</v>
      </c>
      <c r="B80" s="818">
        <v>2316</v>
      </c>
      <c r="C80" s="522">
        <v>1930</v>
      </c>
      <c r="D80" s="522">
        <v>3056</v>
      </c>
      <c r="E80" s="864">
        <v>2895</v>
      </c>
    </row>
    <row r="81" spans="1:5" x14ac:dyDescent="0.25">
      <c r="A81" s="866" t="s">
        <v>369</v>
      </c>
      <c r="B81" s="818">
        <v>295</v>
      </c>
      <c r="C81" s="522">
        <v>167</v>
      </c>
      <c r="D81" s="522">
        <v>264</v>
      </c>
      <c r="E81" s="864">
        <v>250</v>
      </c>
    </row>
  </sheetData>
  <mergeCells count="1">
    <mergeCell ref="G20:O24"/>
  </mergeCells>
  <pageMargins left="0.70866141732283472" right="0.70866141732283472" top="0.74803149606299213" bottom="0.74803149606299213" header="0.31496062992125984" footer="0.31496062992125984"/>
  <pageSetup paperSize="9" scale="45" orientation="portrait"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S29"/>
  <sheetViews>
    <sheetView view="pageBreakPreview" zoomScale="70" zoomScaleNormal="70" zoomScaleSheetLayoutView="70" workbookViewId="0">
      <selection activeCell="A7" sqref="A7:A8"/>
    </sheetView>
  </sheetViews>
  <sheetFormatPr defaultColWidth="11.42578125" defaultRowHeight="18" x14ac:dyDescent="0.25"/>
  <cols>
    <col min="1" max="1" width="59.7109375" style="3" customWidth="1"/>
    <col min="2" max="2" width="10.7109375" style="567" customWidth="1"/>
    <col min="3" max="4" width="11.7109375" style="2" customWidth="1"/>
    <col min="5" max="6" width="10.7109375" style="2" customWidth="1"/>
    <col min="7" max="7" width="6.140625" style="71" customWidth="1"/>
    <col min="8" max="8" width="14.42578125" style="4" customWidth="1"/>
    <col min="9" max="9" width="14.42578125" style="56" customWidth="1"/>
    <col min="10" max="10" width="14.42578125" style="2" customWidth="1"/>
    <col min="11" max="11" width="14.42578125" style="5" customWidth="1"/>
    <col min="12" max="13" width="15.140625" style="2" customWidth="1"/>
    <col min="14" max="14" width="11.42578125" style="2"/>
    <col min="15" max="15" width="11.42578125" style="79"/>
    <col min="16" max="16" width="24.85546875" style="79" customWidth="1"/>
    <col min="17" max="17" width="15.85546875" style="86" customWidth="1"/>
    <col min="18" max="18" width="11.42578125" style="79"/>
    <col min="20" max="256" width="11.42578125" style="2"/>
    <col min="257" max="257" width="59.7109375" style="2" customWidth="1"/>
    <col min="258" max="258" width="10.7109375" style="2" customWidth="1"/>
    <col min="259" max="260" width="11.7109375" style="2" customWidth="1"/>
    <col min="261" max="262" width="10.7109375" style="2" customWidth="1"/>
    <col min="263" max="263" width="6.140625" style="2" customWidth="1"/>
    <col min="264" max="267" width="14.42578125" style="2" customWidth="1"/>
    <col min="268" max="269" width="15.140625" style="2" customWidth="1"/>
    <col min="270" max="271" width="11.42578125" style="2"/>
    <col min="272" max="272" width="24.85546875" style="2" customWidth="1"/>
    <col min="273" max="273" width="10.7109375" style="2" customWidth="1"/>
    <col min="274" max="512" width="11.42578125" style="2"/>
    <col min="513" max="513" width="59.7109375" style="2" customWidth="1"/>
    <col min="514" max="514" width="10.7109375" style="2" customWidth="1"/>
    <col min="515" max="516" width="11.7109375" style="2" customWidth="1"/>
    <col min="517" max="518" width="10.7109375" style="2" customWidth="1"/>
    <col min="519" max="519" width="6.140625" style="2" customWidth="1"/>
    <col min="520" max="523" width="14.42578125" style="2" customWidth="1"/>
    <col min="524" max="525" width="15.140625" style="2" customWidth="1"/>
    <col min="526" max="527" width="11.42578125" style="2"/>
    <col min="528" max="528" width="24.85546875" style="2" customWidth="1"/>
    <col min="529" max="529" width="10.7109375" style="2" customWidth="1"/>
    <col min="530" max="768" width="11.42578125" style="2"/>
    <col min="769" max="769" width="59.7109375" style="2" customWidth="1"/>
    <col min="770" max="770" width="10.7109375" style="2" customWidth="1"/>
    <col min="771" max="772" width="11.7109375" style="2" customWidth="1"/>
    <col min="773" max="774" width="10.7109375" style="2" customWidth="1"/>
    <col min="775" max="775" width="6.140625" style="2" customWidth="1"/>
    <col min="776" max="779" width="14.42578125" style="2" customWidth="1"/>
    <col min="780" max="781" width="15.140625" style="2" customWidth="1"/>
    <col min="782" max="783" width="11.42578125" style="2"/>
    <col min="784" max="784" width="24.85546875" style="2" customWidth="1"/>
    <col min="785" max="785" width="10.7109375" style="2" customWidth="1"/>
    <col min="786" max="1024" width="11.42578125" style="2"/>
    <col min="1025" max="1025" width="59.7109375" style="2" customWidth="1"/>
    <col min="1026" max="1026" width="10.7109375" style="2" customWidth="1"/>
    <col min="1027" max="1028" width="11.7109375" style="2" customWidth="1"/>
    <col min="1029" max="1030" width="10.7109375" style="2" customWidth="1"/>
    <col min="1031" max="1031" width="6.140625" style="2" customWidth="1"/>
    <col min="1032" max="1035" width="14.42578125" style="2" customWidth="1"/>
    <col min="1036" max="1037" width="15.140625" style="2" customWidth="1"/>
    <col min="1038" max="1039" width="11.42578125" style="2"/>
    <col min="1040" max="1040" width="24.85546875" style="2" customWidth="1"/>
    <col min="1041" max="1041" width="10.7109375" style="2" customWidth="1"/>
    <col min="1042" max="1280" width="11.42578125" style="2"/>
    <col min="1281" max="1281" width="59.7109375" style="2" customWidth="1"/>
    <col min="1282" max="1282" width="10.7109375" style="2" customWidth="1"/>
    <col min="1283" max="1284" width="11.7109375" style="2" customWidth="1"/>
    <col min="1285" max="1286" width="10.7109375" style="2" customWidth="1"/>
    <col min="1287" max="1287" width="6.140625" style="2" customWidth="1"/>
    <col min="1288" max="1291" width="14.42578125" style="2" customWidth="1"/>
    <col min="1292" max="1293" width="15.140625" style="2" customWidth="1"/>
    <col min="1294" max="1295" width="11.42578125" style="2"/>
    <col min="1296" max="1296" width="24.85546875" style="2" customWidth="1"/>
    <col min="1297" max="1297" width="10.7109375" style="2" customWidth="1"/>
    <col min="1298" max="1536" width="11.42578125" style="2"/>
    <col min="1537" max="1537" width="59.7109375" style="2" customWidth="1"/>
    <col min="1538" max="1538" width="10.7109375" style="2" customWidth="1"/>
    <col min="1539" max="1540" width="11.7109375" style="2" customWidth="1"/>
    <col min="1541" max="1542" width="10.7109375" style="2" customWidth="1"/>
    <col min="1543" max="1543" width="6.140625" style="2" customWidth="1"/>
    <col min="1544" max="1547" width="14.42578125" style="2" customWidth="1"/>
    <col min="1548" max="1549" width="15.140625" style="2" customWidth="1"/>
    <col min="1550" max="1551" width="11.42578125" style="2"/>
    <col min="1552" max="1552" width="24.85546875" style="2" customWidth="1"/>
    <col min="1553" max="1553" width="10.7109375" style="2" customWidth="1"/>
    <col min="1554" max="1792" width="11.42578125" style="2"/>
    <col min="1793" max="1793" width="59.7109375" style="2" customWidth="1"/>
    <col min="1794" max="1794" width="10.7109375" style="2" customWidth="1"/>
    <col min="1795" max="1796" width="11.7109375" style="2" customWidth="1"/>
    <col min="1797" max="1798" width="10.7109375" style="2" customWidth="1"/>
    <col min="1799" max="1799" width="6.140625" style="2" customWidth="1"/>
    <col min="1800" max="1803" width="14.42578125" style="2" customWidth="1"/>
    <col min="1804" max="1805" width="15.140625" style="2" customWidth="1"/>
    <col min="1806" max="1807" width="11.42578125" style="2"/>
    <col min="1808" max="1808" width="24.85546875" style="2" customWidth="1"/>
    <col min="1809" max="1809" width="10.7109375" style="2" customWidth="1"/>
    <col min="1810" max="2048" width="11.42578125" style="2"/>
    <col min="2049" max="2049" width="59.7109375" style="2" customWidth="1"/>
    <col min="2050" max="2050" width="10.7109375" style="2" customWidth="1"/>
    <col min="2051" max="2052" width="11.7109375" style="2" customWidth="1"/>
    <col min="2053" max="2054" width="10.7109375" style="2" customWidth="1"/>
    <col min="2055" max="2055" width="6.140625" style="2" customWidth="1"/>
    <col min="2056" max="2059" width="14.42578125" style="2" customWidth="1"/>
    <col min="2060" max="2061" width="15.140625" style="2" customWidth="1"/>
    <col min="2062" max="2063" width="11.42578125" style="2"/>
    <col min="2064" max="2064" width="24.85546875" style="2" customWidth="1"/>
    <col min="2065" max="2065" width="10.7109375" style="2" customWidth="1"/>
    <col min="2066" max="2304" width="11.42578125" style="2"/>
    <col min="2305" max="2305" width="59.7109375" style="2" customWidth="1"/>
    <col min="2306" max="2306" width="10.7109375" style="2" customWidth="1"/>
    <col min="2307" max="2308" width="11.7109375" style="2" customWidth="1"/>
    <col min="2309" max="2310" width="10.7109375" style="2" customWidth="1"/>
    <col min="2311" max="2311" width="6.140625" style="2" customWidth="1"/>
    <col min="2312" max="2315" width="14.42578125" style="2" customWidth="1"/>
    <col min="2316" max="2317" width="15.140625" style="2" customWidth="1"/>
    <col min="2318" max="2319" width="11.42578125" style="2"/>
    <col min="2320" max="2320" width="24.85546875" style="2" customWidth="1"/>
    <col min="2321" max="2321" width="10.7109375" style="2" customWidth="1"/>
    <col min="2322" max="2560" width="11.42578125" style="2"/>
    <col min="2561" max="2561" width="59.7109375" style="2" customWidth="1"/>
    <col min="2562" max="2562" width="10.7109375" style="2" customWidth="1"/>
    <col min="2563" max="2564" width="11.7109375" style="2" customWidth="1"/>
    <col min="2565" max="2566" width="10.7109375" style="2" customWidth="1"/>
    <col min="2567" max="2567" width="6.140625" style="2" customWidth="1"/>
    <col min="2568" max="2571" width="14.42578125" style="2" customWidth="1"/>
    <col min="2572" max="2573" width="15.140625" style="2" customWidth="1"/>
    <col min="2574" max="2575" width="11.42578125" style="2"/>
    <col min="2576" max="2576" width="24.85546875" style="2" customWidth="1"/>
    <col min="2577" max="2577" width="10.7109375" style="2" customWidth="1"/>
    <col min="2578" max="2816" width="11.42578125" style="2"/>
    <col min="2817" max="2817" width="59.7109375" style="2" customWidth="1"/>
    <col min="2818" max="2818" width="10.7109375" style="2" customWidth="1"/>
    <col min="2819" max="2820" width="11.7109375" style="2" customWidth="1"/>
    <col min="2821" max="2822" width="10.7109375" style="2" customWidth="1"/>
    <col min="2823" max="2823" width="6.140625" style="2" customWidth="1"/>
    <col min="2824" max="2827" width="14.42578125" style="2" customWidth="1"/>
    <col min="2828" max="2829" width="15.140625" style="2" customWidth="1"/>
    <col min="2830" max="2831" width="11.42578125" style="2"/>
    <col min="2832" max="2832" width="24.85546875" style="2" customWidth="1"/>
    <col min="2833" max="2833" width="10.7109375" style="2" customWidth="1"/>
    <col min="2834" max="3072" width="11.42578125" style="2"/>
    <col min="3073" max="3073" width="59.7109375" style="2" customWidth="1"/>
    <col min="3074" max="3074" width="10.7109375" style="2" customWidth="1"/>
    <col min="3075" max="3076" width="11.7109375" style="2" customWidth="1"/>
    <col min="3077" max="3078" width="10.7109375" style="2" customWidth="1"/>
    <col min="3079" max="3079" width="6.140625" style="2" customWidth="1"/>
    <col min="3080" max="3083" width="14.42578125" style="2" customWidth="1"/>
    <col min="3084" max="3085" width="15.140625" style="2" customWidth="1"/>
    <col min="3086" max="3087" width="11.42578125" style="2"/>
    <col min="3088" max="3088" width="24.85546875" style="2" customWidth="1"/>
    <col min="3089" max="3089" width="10.7109375" style="2" customWidth="1"/>
    <col min="3090" max="3328" width="11.42578125" style="2"/>
    <col min="3329" max="3329" width="59.7109375" style="2" customWidth="1"/>
    <col min="3330" max="3330" width="10.7109375" style="2" customWidth="1"/>
    <col min="3331" max="3332" width="11.7109375" style="2" customWidth="1"/>
    <col min="3333" max="3334" width="10.7109375" style="2" customWidth="1"/>
    <col min="3335" max="3335" width="6.140625" style="2" customWidth="1"/>
    <col min="3336" max="3339" width="14.42578125" style="2" customWidth="1"/>
    <col min="3340" max="3341" width="15.140625" style="2" customWidth="1"/>
    <col min="3342" max="3343" width="11.42578125" style="2"/>
    <col min="3344" max="3344" width="24.85546875" style="2" customWidth="1"/>
    <col min="3345" max="3345" width="10.7109375" style="2" customWidth="1"/>
    <col min="3346" max="3584" width="11.42578125" style="2"/>
    <col min="3585" max="3585" width="59.7109375" style="2" customWidth="1"/>
    <col min="3586" max="3586" width="10.7109375" style="2" customWidth="1"/>
    <col min="3587" max="3588" width="11.7109375" style="2" customWidth="1"/>
    <col min="3589" max="3590" width="10.7109375" style="2" customWidth="1"/>
    <col min="3591" max="3591" width="6.140625" style="2" customWidth="1"/>
    <col min="3592" max="3595" width="14.42578125" style="2" customWidth="1"/>
    <col min="3596" max="3597" width="15.140625" style="2" customWidth="1"/>
    <col min="3598" max="3599" width="11.42578125" style="2"/>
    <col min="3600" max="3600" width="24.85546875" style="2" customWidth="1"/>
    <col min="3601" max="3601" width="10.7109375" style="2" customWidth="1"/>
    <col min="3602" max="3840" width="11.42578125" style="2"/>
    <col min="3841" max="3841" width="59.7109375" style="2" customWidth="1"/>
    <col min="3842" max="3842" width="10.7109375" style="2" customWidth="1"/>
    <col min="3843" max="3844" width="11.7109375" style="2" customWidth="1"/>
    <col min="3845" max="3846" width="10.7109375" style="2" customWidth="1"/>
    <col min="3847" max="3847" width="6.140625" style="2" customWidth="1"/>
    <col min="3848" max="3851" width="14.42578125" style="2" customWidth="1"/>
    <col min="3852" max="3853" width="15.140625" style="2" customWidth="1"/>
    <col min="3854" max="3855" width="11.42578125" style="2"/>
    <col min="3856" max="3856" width="24.85546875" style="2" customWidth="1"/>
    <col min="3857" max="3857" width="10.7109375" style="2" customWidth="1"/>
    <col min="3858" max="4096" width="11.42578125" style="2"/>
    <col min="4097" max="4097" width="59.7109375" style="2" customWidth="1"/>
    <col min="4098" max="4098" width="10.7109375" style="2" customWidth="1"/>
    <col min="4099" max="4100" width="11.7109375" style="2" customWidth="1"/>
    <col min="4101" max="4102" width="10.7109375" style="2" customWidth="1"/>
    <col min="4103" max="4103" width="6.140625" style="2" customWidth="1"/>
    <col min="4104" max="4107" width="14.42578125" style="2" customWidth="1"/>
    <col min="4108" max="4109" width="15.140625" style="2" customWidth="1"/>
    <col min="4110" max="4111" width="11.42578125" style="2"/>
    <col min="4112" max="4112" width="24.85546875" style="2" customWidth="1"/>
    <col min="4113" max="4113" width="10.7109375" style="2" customWidth="1"/>
    <col min="4114" max="4352" width="11.42578125" style="2"/>
    <col min="4353" max="4353" width="59.7109375" style="2" customWidth="1"/>
    <col min="4354" max="4354" width="10.7109375" style="2" customWidth="1"/>
    <col min="4355" max="4356" width="11.7109375" style="2" customWidth="1"/>
    <col min="4357" max="4358" width="10.7109375" style="2" customWidth="1"/>
    <col min="4359" max="4359" width="6.140625" style="2" customWidth="1"/>
    <col min="4360" max="4363" width="14.42578125" style="2" customWidth="1"/>
    <col min="4364" max="4365" width="15.140625" style="2" customWidth="1"/>
    <col min="4366" max="4367" width="11.42578125" style="2"/>
    <col min="4368" max="4368" width="24.85546875" style="2" customWidth="1"/>
    <col min="4369" max="4369" width="10.7109375" style="2" customWidth="1"/>
    <col min="4370" max="4608" width="11.42578125" style="2"/>
    <col min="4609" max="4609" width="59.7109375" style="2" customWidth="1"/>
    <col min="4610" max="4610" width="10.7109375" style="2" customWidth="1"/>
    <col min="4611" max="4612" width="11.7109375" style="2" customWidth="1"/>
    <col min="4613" max="4614" width="10.7109375" style="2" customWidth="1"/>
    <col min="4615" max="4615" width="6.140625" style="2" customWidth="1"/>
    <col min="4616" max="4619" width="14.42578125" style="2" customWidth="1"/>
    <col min="4620" max="4621" width="15.140625" style="2" customWidth="1"/>
    <col min="4622" max="4623" width="11.42578125" style="2"/>
    <col min="4624" max="4624" width="24.85546875" style="2" customWidth="1"/>
    <col min="4625" max="4625" width="10.7109375" style="2" customWidth="1"/>
    <col min="4626" max="4864" width="11.42578125" style="2"/>
    <col min="4865" max="4865" width="59.7109375" style="2" customWidth="1"/>
    <col min="4866" max="4866" width="10.7109375" style="2" customWidth="1"/>
    <col min="4867" max="4868" width="11.7109375" style="2" customWidth="1"/>
    <col min="4869" max="4870" width="10.7109375" style="2" customWidth="1"/>
    <col min="4871" max="4871" width="6.140625" style="2" customWidth="1"/>
    <col min="4872" max="4875" width="14.42578125" style="2" customWidth="1"/>
    <col min="4876" max="4877" width="15.140625" style="2" customWidth="1"/>
    <col min="4878" max="4879" width="11.42578125" style="2"/>
    <col min="4880" max="4880" width="24.85546875" style="2" customWidth="1"/>
    <col min="4881" max="4881" width="10.7109375" style="2" customWidth="1"/>
    <col min="4882" max="5120" width="11.42578125" style="2"/>
    <col min="5121" max="5121" width="59.7109375" style="2" customWidth="1"/>
    <col min="5122" max="5122" width="10.7109375" style="2" customWidth="1"/>
    <col min="5123" max="5124" width="11.7109375" style="2" customWidth="1"/>
    <col min="5125" max="5126" width="10.7109375" style="2" customWidth="1"/>
    <col min="5127" max="5127" width="6.140625" style="2" customWidth="1"/>
    <col min="5128" max="5131" width="14.42578125" style="2" customWidth="1"/>
    <col min="5132" max="5133" width="15.140625" style="2" customWidth="1"/>
    <col min="5134" max="5135" width="11.42578125" style="2"/>
    <col min="5136" max="5136" width="24.85546875" style="2" customWidth="1"/>
    <col min="5137" max="5137" width="10.7109375" style="2" customWidth="1"/>
    <col min="5138" max="5376" width="11.42578125" style="2"/>
    <col min="5377" max="5377" width="59.7109375" style="2" customWidth="1"/>
    <col min="5378" max="5378" width="10.7109375" style="2" customWidth="1"/>
    <col min="5379" max="5380" width="11.7109375" style="2" customWidth="1"/>
    <col min="5381" max="5382" width="10.7109375" style="2" customWidth="1"/>
    <col min="5383" max="5383" width="6.140625" style="2" customWidth="1"/>
    <col min="5384" max="5387" width="14.42578125" style="2" customWidth="1"/>
    <col min="5388" max="5389" width="15.140625" style="2" customWidth="1"/>
    <col min="5390" max="5391" width="11.42578125" style="2"/>
    <col min="5392" max="5392" width="24.85546875" style="2" customWidth="1"/>
    <col min="5393" max="5393" width="10.7109375" style="2" customWidth="1"/>
    <col min="5394" max="5632" width="11.42578125" style="2"/>
    <col min="5633" max="5633" width="59.7109375" style="2" customWidth="1"/>
    <col min="5634" max="5634" width="10.7109375" style="2" customWidth="1"/>
    <col min="5635" max="5636" width="11.7109375" style="2" customWidth="1"/>
    <col min="5637" max="5638" width="10.7109375" style="2" customWidth="1"/>
    <col min="5639" max="5639" width="6.140625" style="2" customWidth="1"/>
    <col min="5640" max="5643" width="14.42578125" style="2" customWidth="1"/>
    <col min="5644" max="5645" width="15.140625" style="2" customWidth="1"/>
    <col min="5646" max="5647" width="11.42578125" style="2"/>
    <col min="5648" max="5648" width="24.85546875" style="2" customWidth="1"/>
    <col min="5649" max="5649" width="10.7109375" style="2" customWidth="1"/>
    <col min="5650" max="5888" width="11.42578125" style="2"/>
    <col min="5889" max="5889" width="59.7109375" style="2" customWidth="1"/>
    <col min="5890" max="5890" width="10.7109375" style="2" customWidth="1"/>
    <col min="5891" max="5892" width="11.7109375" style="2" customWidth="1"/>
    <col min="5893" max="5894" width="10.7109375" style="2" customWidth="1"/>
    <col min="5895" max="5895" width="6.140625" style="2" customWidth="1"/>
    <col min="5896" max="5899" width="14.42578125" style="2" customWidth="1"/>
    <col min="5900" max="5901" width="15.140625" style="2" customWidth="1"/>
    <col min="5902" max="5903" width="11.42578125" style="2"/>
    <col min="5904" max="5904" width="24.85546875" style="2" customWidth="1"/>
    <col min="5905" max="5905" width="10.7109375" style="2" customWidth="1"/>
    <col min="5906" max="6144" width="11.42578125" style="2"/>
    <col min="6145" max="6145" width="59.7109375" style="2" customWidth="1"/>
    <col min="6146" max="6146" width="10.7109375" style="2" customWidth="1"/>
    <col min="6147" max="6148" width="11.7109375" style="2" customWidth="1"/>
    <col min="6149" max="6150" width="10.7109375" style="2" customWidth="1"/>
    <col min="6151" max="6151" width="6.140625" style="2" customWidth="1"/>
    <col min="6152" max="6155" width="14.42578125" style="2" customWidth="1"/>
    <col min="6156" max="6157" width="15.140625" style="2" customWidth="1"/>
    <col min="6158" max="6159" width="11.42578125" style="2"/>
    <col min="6160" max="6160" width="24.85546875" style="2" customWidth="1"/>
    <col min="6161" max="6161" width="10.7109375" style="2" customWidth="1"/>
    <col min="6162" max="6400" width="11.42578125" style="2"/>
    <col min="6401" max="6401" width="59.7109375" style="2" customWidth="1"/>
    <col min="6402" max="6402" width="10.7109375" style="2" customWidth="1"/>
    <col min="6403" max="6404" width="11.7109375" style="2" customWidth="1"/>
    <col min="6405" max="6406" width="10.7109375" style="2" customWidth="1"/>
    <col min="6407" max="6407" width="6.140625" style="2" customWidth="1"/>
    <col min="6408" max="6411" width="14.42578125" style="2" customWidth="1"/>
    <col min="6412" max="6413" width="15.140625" style="2" customWidth="1"/>
    <col min="6414" max="6415" width="11.42578125" style="2"/>
    <col min="6416" max="6416" width="24.85546875" style="2" customWidth="1"/>
    <col min="6417" max="6417" width="10.7109375" style="2" customWidth="1"/>
    <col min="6418" max="6656" width="11.42578125" style="2"/>
    <col min="6657" max="6657" width="59.7109375" style="2" customWidth="1"/>
    <col min="6658" max="6658" width="10.7109375" style="2" customWidth="1"/>
    <col min="6659" max="6660" width="11.7109375" style="2" customWidth="1"/>
    <col min="6661" max="6662" width="10.7109375" style="2" customWidth="1"/>
    <col min="6663" max="6663" width="6.140625" style="2" customWidth="1"/>
    <col min="6664" max="6667" width="14.42578125" style="2" customWidth="1"/>
    <col min="6668" max="6669" width="15.140625" style="2" customWidth="1"/>
    <col min="6670" max="6671" width="11.42578125" style="2"/>
    <col min="6672" max="6672" width="24.85546875" style="2" customWidth="1"/>
    <col min="6673" max="6673" width="10.7109375" style="2" customWidth="1"/>
    <col min="6674" max="6912" width="11.42578125" style="2"/>
    <col min="6913" max="6913" width="59.7109375" style="2" customWidth="1"/>
    <col min="6914" max="6914" width="10.7109375" style="2" customWidth="1"/>
    <col min="6915" max="6916" width="11.7109375" style="2" customWidth="1"/>
    <col min="6917" max="6918" width="10.7109375" style="2" customWidth="1"/>
    <col min="6919" max="6919" width="6.140625" style="2" customWidth="1"/>
    <col min="6920" max="6923" width="14.42578125" style="2" customWidth="1"/>
    <col min="6924" max="6925" width="15.140625" style="2" customWidth="1"/>
    <col min="6926" max="6927" width="11.42578125" style="2"/>
    <col min="6928" max="6928" width="24.85546875" style="2" customWidth="1"/>
    <col min="6929" max="6929" width="10.7109375" style="2" customWidth="1"/>
    <col min="6930" max="7168" width="11.42578125" style="2"/>
    <col min="7169" max="7169" width="59.7109375" style="2" customWidth="1"/>
    <col min="7170" max="7170" width="10.7109375" style="2" customWidth="1"/>
    <col min="7171" max="7172" width="11.7109375" style="2" customWidth="1"/>
    <col min="7173" max="7174" width="10.7109375" style="2" customWidth="1"/>
    <col min="7175" max="7175" width="6.140625" style="2" customWidth="1"/>
    <col min="7176" max="7179" width="14.42578125" style="2" customWidth="1"/>
    <col min="7180" max="7181" width="15.140625" style="2" customWidth="1"/>
    <col min="7182" max="7183" width="11.42578125" style="2"/>
    <col min="7184" max="7184" width="24.85546875" style="2" customWidth="1"/>
    <col min="7185" max="7185" width="10.7109375" style="2" customWidth="1"/>
    <col min="7186" max="7424" width="11.42578125" style="2"/>
    <col min="7425" max="7425" width="59.7109375" style="2" customWidth="1"/>
    <col min="7426" max="7426" width="10.7109375" style="2" customWidth="1"/>
    <col min="7427" max="7428" width="11.7109375" style="2" customWidth="1"/>
    <col min="7429" max="7430" width="10.7109375" style="2" customWidth="1"/>
    <col min="7431" max="7431" width="6.140625" style="2" customWidth="1"/>
    <col min="7432" max="7435" width="14.42578125" style="2" customWidth="1"/>
    <col min="7436" max="7437" width="15.140625" style="2" customWidth="1"/>
    <col min="7438" max="7439" width="11.42578125" style="2"/>
    <col min="7440" max="7440" width="24.85546875" style="2" customWidth="1"/>
    <col min="7441" max="7441" width="10.7109375" style="2" customWidth="1"/>
    <col min="7442" max="7680" width="11.42578125" style="2"/>
    <col min="7681" max="7681" width="59.7109375" style="2" customWidth="1"/>
    <col min="7682" max="7682" width="10.7109375" style="2" customWidth="1"/>
    <col min="7683" max="7684" width="11.7109375" style="2" customWidth="1"/>
    <col min="7685" max="7686" width="10.7109375" style="2" customWidth="1"/>
    <col min="7687" max="7687" width="6.140625" style="2" customWidth="1"/>
    <col min="7688" max="7691" width="14.42578125" style="2" customWidth="1"/>
    <col min="7692" max="7693" width="15.140625" style="2" customWidth="1"/>
    <col min="7694" max="7695" width="11.42578125" style="2"/>
    <col min="7696" max="7696" width="24.85546875" style="2" customWidth="1"/>
    <col min="7697" max="7697" width="10.7109375" style="2" customWidth="1"/>
    <col min="7698" max="7936" width="11.42578125" style="2"/>
    <col min="7937" max="7937" width="59.7109375" style="2" customWidth="1"/>
    <col min="7938" max="7938" width="10.7109375" style="2" customWidth="1"/>
    <col min="7939" max="7940" width="11.7109375" style="2" customWidth="1"/>
    <col min="7941" max="7942" width="10.7109375" style="2" customWidth="1"/>
    <col min="7943" max="7943" width="6.140625" style="2" customWidth="1"/>
    <col min="7944" max="7947" width="14.42578125" style="2" customWidth="1"/>
    <col min="7948" max="7949" width="15.140625" style="2" customWidth="1"/>
    <col min="7950" max="7951" width="11.42578125" style="2"/>
    <col min="7952" max="7952" width="24.85546875" style="2" customWidth="1"/>
    <col min="7953" max="7953" width="10.7109375" style="2" customWidth="1"/>
    <col min="7954" max="8192" width="11.42578125" style="2"/>
    <col min="8193" max="8193" width="59.7109375" style="2" customWidth="1"/>
    <col min="8194" max="8194" width="10.7109375" style="2" customWidth="1"/>
    <col min="8195" max="8196" width="11.7109375" style="2" customWidth="1"/>
    <col min="8197" max="8198" width="10.7109375" style="2" customWidth="1"/>
    <col min="8199" max="8199" width="6.140625" style="2" customWidth="1"/>
    <col min="8200" max="8203" width="14.42578125" style="2" customWidth="1"/>
    <col min="8204" max="8205" width="15.140625" style="2" customWidth="1"/>
    <col min="8206" max="8207" width="11.42578125" style="2"/>
    <col min="8208" max="8208" width="24.85546875" style="2" customWidth="1"/>
    <col min="8209" max="8209" width="10.7109375" style="2" customWidth="1"/>
    <col min="8210" max="8448" width="11.42578125" style="2"/>
    <col min="8449" max="8449" width="59.7109375" style="2" customWidth="1"/>
    <col min="8450" max="8450" width="10.7109375" style="2" customWidth="1"/>
    <col min="8451" max="8452" width="11.7109375" style="2" customWidth="1"/>
    <col min="8453" max="8454" width="10.7109375" style="2" customWidth="1"/>
    <col min="8455" max="8455" width="6.140625" style="2" customWidth="1"/>
    <col min="8456" max="8459" width="14.42578125" style="2" customWidth="1"/>
    <col min="8460" max="8461" width="15.140625" style="2" customWidth="1"/>
    <col min="8462" max="8463" width="11.42578125" style="2"/>
    <col min="8464" max="8464" width="24.85546875" style="2" customWidth="1"/>
    <col min="8465" max="8465" width="10.7109375" style="2" customWidth="1"/>
    <col min="8466" max="8704" width="11.42578125" style="2"/>
    <col min="8705" max="8705" width="59.7109375" style="2" customWidth="1"/>
    <col min="8706" max="8706" width="10.7109375" style="2" customWidth="1"/>
    <col min="8707" max="8708" width="11.7109375" style="2" customWidth="1"/>
    <col min="8709" max="8710" width="10.7109375" style="2" customWidth="1"/>
    <col min="8711" max="8711" width="6.140625" style="2" customWidth="1"/>
    <col min="8712" max="8715" width="14.42578125" style="2" customWidth="1"/>
    <col min="8716" max="8717" width="15.140625" style="2" customWidth="1"/>
    <col min="8718" max="8719" width="11.42578125" style="2"/>
    <col min="8720" max="8720" width="24.85546875" style="2" customWidth="1"/>
    <col min="8721" max="8721" width="10.7109375" style="2" customWidth="1"/>
    <col min="8722" max="8960" width="11.42578125" style="2"/>
    <col min="8961" max="8961" width="59.7109375" style="2" customWidth="1"/>
    <col min="8962" max="8962" width="10.7109375" style="2" customWidth="1"/>
    <col min="8963" max="8964" width="11.7109375" style="2" customWidth="1"/>
    <col min="8965" max="8966" width="10.7109375" style="2" customWidth="1"/>
    <col min="8967" max="8967" width="6.140625" style="2" customWidth="1"/>
    <col min="8968" max="8971" width="14.42578125" style="2" customWidth="1"/>
    <col min="8972" max="8973" width="15.140625" style="2" customWidth="1"/>
    <col min="8974" max="8975" width="11.42578125" style="2"/>
    <col min="8976" max="8976" width="24.85546875" style="2" customWidth="1"/>
    <col min="8977" max="8977" width="10.7109375" style="2" customWidth="1"/>
    <col min="8978" max="9216" width="11.42578125" style="2"/>
    <col min="9217" max="9217" width="59.7109375" style="2" customWidth="1"/>
    <col min="9218" max="9218" width="10.7109375" style="2" customWidth="1"/>
    <col min="9219" max="9220" width="11.7109375" style="2" customWidth="1"/>
    <col min="9221" max="9222" width="10.7109375" style="2" customWidth="1"/>
    <col min="9223" max="9223" width="6.140625" style="2" customWidth="1"/>
    <col min="9224" max="9227" width="14.42578125" style="2" customWidth="1"/>
    <col min="9228" max="9229" width="15.140625" style="2" customWidth="1"/>
    <col min="9230" max="9231" width="11.42578125" style="2"/>
    <col min="9232" max="9232" width="24.85546875" style="2" customWidth="1"/>
    <col min="9233" max="9233" width="10.7109375" style="2" customWidth="1"/>
    <col min="9234" max="9472" width="11.42578125" style="2"/>
    <col min="9473" max="9473" width="59.7109375" style="2" customWidth="1"/>
    <col min="9474" max="9474" width="10.7109375" style="2" customWidth="1"/>
    <col min="9475" max="9476" width="11.7109375" style="2" customWidth="1"/>
    <col min="9477" max="9478" width="10.7109375" style="2" customWidth="1"/>
    <col min="9479" max="9479" width="6.140625" style="2" customWidth="1"/>
    <col min="9480" max="9483" width="14.42578125" style="2" customWidth="1"/>
    <col min="9484" max="9485" width="15.140625" style="2" customWidth="1"/>
    <col min="9486" max="9487" width="11.42578125" style="2"/>
    <col min="9488" max="9488" width="24.85546875" style="2" customWidth="1"/>
    <col min="9489" max="9489" width="10.7109375" style="2" customWidth="1"/>
    <col min="9490" max="9728" width="11.42578125" style="2"/>
    <col min="9729" max="9729" width="59.7109375" style="2" customWidth="1"/>
    <col min="9730" max="9730" width="10.7109375" style="2" customWidth="1"/>
    <col min="9731" max="9732" width="11.7109375" style="2" customWidth="1"/>
    <col min="9733" max="9734" width="10.7109375" style="2" customWidth="1"/>
    <col min="9735" max="9735" width="6.140625" style="2" customWidth="1"/>
    <col min="9736" max="9739" width="14.42578125" style="2" customWidth="1"/>
    <col min="9740" max="9741" width="15.140625" style="2" customWidth="1"/>
    <col min="9742" max="9743" width="11.42578125" style="2"/>
    <col min="9744" max="9744" width="24.85546875" style="2" customWidth="1"/>
    <col min="9745" max="9745" width="10.7109375" style="2" customWidth="1"/>
    <col min="9746" max="9984" width="11.42578125" style="2"/>
    <col min="9985" max="9985" width="59.7109375" style="2" customWidth="1"/>
    <col min="9986" max="9986" width="10.7109375" style="2" customWidth="1"/>
    <col min="9987" max="9988" width="11.7109375" style="2" customWidth="1"/>
    <col min="9989" max="9990" width="10.7109375" style="2" customWidth="1"/>
    <col min="9991" max="9991" width="6.140625" style="2" customWidth="1"/>
    <col min="9992" max="9995" width="14.42578125" style="2" customWidth="1"/>
    <col min="9996" max="9997" width="15.140625" style="2" customWidth="1"/>
    <col min="9998" max="9999" width="11.42578125" style="2"/>
    <col min="10000" max="10000" width="24.85546875" style="2" customWidth="1"/>
    <col min="10001" max="10001" width="10.7109375" style="2" customWidth="1"/>
    <col min="10002" max="10240" width="11.42578125" style="2"/>
    <col min="10241" max="10241" width="59.7109375" style="2" customWidth="1"/>
    <col min="10242" max="10242" width="10.7109375" style="2" customWidth="1"/>
    <col min="10243" max="10244" width="11.7109375" style="2" customWidth="1"/>
    <col min="10245" max="10246" width="10.7109375" style="2" customWidth="1"/>
    <col min="10247" max="10247" width="6.140625" style="2" customWidth="1"/>
    <col min="10248" max="10251" width="14.42578125" style="2" customWidth="1"/>
    <col min="10252" max="10253" width="15.140625" style="2" customWidth="1"/>
    <col min="10254" max="10255" width="11.42578125" style="2"/>
    <col min="10256" max="10256" width="24.85546875" style="2" customWidth="1"/>
    <col min="10257" max="10257" width="10.7109375" style="2" customWidth="1"/>
    <col min="10258" max="10496" width="11.42578125" style="2"/>
    <col min="10497" max="10497" width="59.7109375" style="2" customWidth="1"/>
    <col min="10498" max="10498" width="10.7109375" style="2" customWidth="1"/>
    <col min="10499" max="10500" width="11.7109375" style="2" customWidth="1"/>
    <col min="10501" max="10502" width="10.7109375" style="2" customWidth="1"/>
    <col min="10503" max="10503" width="6.140625" style="2" customWidth="1"/>
    <col min="10504" max="10507" width="14.42578125" style="2" customWidth="1"/>
    <col min="10508" max="10509" width="15.140625" style="2" customWidth="1"/>
    <col min="10510" max="10511" width="11.42578125" style="2"/>
    <col min="10512" max="10512" width="24.85546875" style="2" customWidth="1"/>
    <col min="10513" max="10513" width="10.7109375" style="2" customWidth="1"/>
    <col min="10514" max="10752" width="11.42578125" style="2"/>
    <col min="10753" max="10753" width="59.7109375" style="2" customWidth="1"/>
    <col min="10754" max="10754" width="10.7109375" style="2" customWidth="1"/>
    <col min="10755" max="10756" width="11.7109375" style="2" customWidth="1"/>
    <col min="10757" max="10758" width="10.7109375" style="2" customWidth="1"/>
    <col min="10759" max="10759" width="6.140625" style="2" customWidth="1"/>
    <col min="10760" max="10763" width="14.42578125" style="2" customWidth="1"/>
    <col min="10764" max="10765" width="15.140625" style="2" customWidth="1"/>
    <col min="10766" max="10767" width="11.42578125" style="2"/>
    <col min="10768" max="10768" width="24.85546875" style="2" customWidth="1"/>
    <col min="10769" max="10769" width="10.7109375" style="2" customWidth="1"/>
    <col min="10770" max="11008" width="11.42578125" style="2"/>
    <col min="11009" max="11009" width="59.7109375" style="2" customWidth="1"/>
    <col min="11010" max="11010" width="10.7109375" style="2" customWidth="1"/>
    <col min="11011" max="11012" width="11.7109375" style="2" customWidth="1"/>
    <col min="11013" max="11014" width="10.7109375" style="2" customWidth="1"/>
    <col min="11015" max="11015" width="6.140625" style="2" customWidth="1"/>
    <col min="11016" max="11019" width="14.42578125" style="2" customWidth="1"/>
    <col min="11020" max="11021" width="15.140625" style="2" customWidth="1"/>
    <col min="11022" max="11023" width="11.42578125" style="2"/>
    <col min="11024" max="11024" width="24.85546875" style="2" customWidth="1"/>
    <col min="11025" max="11025" width="10.7109375" style="2" customWidth="1"/>
    <col min="11026" max="11264" width="11.42578125" style="2"/>
    <col min="11265" max="11265" width="59.7109375" style="2" customWidth="1"/>
    <col min="11266" max="11266" width="10.7109375" style="2" customWidth="1"/>
    <col min="11267" max="11268" width="11.7109375" style="2" customWidth="1"/>
    <col min="11269" max="11270" width="10.7109375" style="2" customWidth="1"/>
    <col min="11271" max="11271" width="6.140625" style="2" customWidth="1"/>
    <col min="11272" max="11275" width="14.42578125" style="2" customWidth="1"/>
    <col min="11276" max="11277" width="15.140625" style="2" customWidth="1"/>
    <col min="11278" max="11279" width="11.42578125" style="2"/>
    <col min="11280" max="11280" width="24.85546875" style="2" customWidth="1"/>
    <col min="11281" max="11281" width="10.7109375" style="2" customWidth="1"/>
    <col min="11282" max="11520" width="11.42578125" style="2"/>
    <col min="11521" max="11521" width="59.7109375" style="2" customWidth="1"/>
    <col min="11522" max="11522" width="10.7109375" style="2" customWidth="1"/>
    <col min="11523" max="11524" width="11.7109375" style="2" customWidth="1"/>
    <col min="11525" max="11526" width="10.7109375" style="2" customWidth="1"/>
    <col min="11527" max="11527" width="6.140625" style="2" customWidth="1"/>
    <col min="11528" max="11531" width="14.42578125" style="2" customWidth="1"/>
    <col min="11532" max="11533" width="15.140625" style="2" customWidth="1"/>
    <col min="11534" max="11535" width="11.42578125" style="2"/>
    <col min="11536" max="11536" width="24.85546875" style="2" customWidth="1"/>
    <col min="11537" max="11537" width="10.7109375" style="2" customWidth="1"/>
    <col min="11538" max="11776" width="11.42578125" style="2"/>
    <col min="11777" max="11777" width="59.7109375" style="2" customWidth="1"/>
    <col min="11778" max="11778" width="10.7109375" style="2" customWidth="1"/>
    <col min="11779" max="11780" width="11.7109375" style="2" customWidth="1"/>
    <col min="11781" max="11782" width="10.7109375" style="2" customWidth="1"/>
    <col min="11783" max="11783" width="6.140625" style="2" customWidth="1"/>
    <col min="11784" max="11787" width="14.42578125" style="2" customWidth="1"/>
    <col min="11788" max="11789" width="15.140625" style="2" customWidth="1"/>
    <col min="11790" max="11791" width="11.42578125" style="2"/>
    <col min="11792" max="11792" width="24.85546875" style="2" customWidth="1"/>
    <col min="11793" max="11793" width="10.7109375" style="2" customWidth="1"/>
    <col min="11794" max="12032" width="11.42578125" style="2"/>
    <col min="12033" max="12033" width="59.7109375" style="2" customWidth="1"/>
    <col min="12034" max="12034" width="10.7109375" style="2" customWidth="1"/>
    <col min="12035" max="12036" width="11.7109375" style="2" customWidth="1"/>
    <col min="12037" max="12038" width="10.7109375" style="2" customWidth="1"/>
    <col min="12039" max="12039" width="6.140625" style="2" customWidth="1"/>
    <col min="12040" max="12043" width="14.42578125" style="2" customWidth="1"/>
    <col min="12044" max="12045" width="15.140625" style="2" customWidth="1"/>
    <col min="12046" max="12047" width="11.42578125" style="2"/>
    <col min="12048" max="12048" width="24.85546875" style="2" customWidth="1"/>
    <col min="12049" max="12049" width="10.7109375" style="2" customWidth="1"/>
    <col min="12050" max="12288" width="11.42578125" style="2"/>
    <col min="12289" max="12289" width="59.7109375" style="2" customWidth="1"/>
    <col min="12290" max="12290" width="10.7109375" style="2" customWidth="1"/>
    <col min="12291" max="12292" width="11.7109375" style="2" customWidth="1"/>
    <col min="12293" max="12294" width="10.7109375" style="2" customWidth="1"/>
    <col min="12295" max="12295" width="6.140625" style="2" customWidth="1"/>
    <col min="12296" max="12299" width="14.42578125" style="2" customWidth="1"/>
    <col min="12300" max="12301" width="15.140625" style="2" customWidth="1"/>
    <col min="12302" max="12303" width="11.42578125" style="2"/>
    <col min="12304" max="12304" width="24.85546875" style="2" customWidth="1"/>
    <col min="12305" max="12305" width="10.7109375" style="2" customWidth="1"/>
    <col min="12306" max="12544" width="11.42578125" style="2"/>
    <col min="12545" max="12545" width="59.7109375" style="2" customWidth="1"/>
    <col min="12546" max="12546" width="10.7109375" style="2" customWidth="1"/>
    <col min="12547" max="12548" width="11.7109375" style="2" customWidth="1"/>
    <col min="12549" max="12550" width="10.7109375" style="2" customWidth="1"/>
    <col min="12551" max="12551" width="6.140625" style="2" customWidth="1"/>
    <col min="12552" max="12555" width="14.42578125" style="2" customWidth="1"/>
    <col min="12556" max="12557" width="15.140625" style="2" customWidth="1"/>
    <col min="12558" max="12559" width="11.42578125" style="2"/>
    <col min="12560" max="12560" width="24.85546875" style="2" customWidth="1"/>
    <col min="12561" max="12561" width="10.7109375" style="2" customWidth="1"/>
    <col min="12562" max="12800" width="11.42578125" style="2"/>
    <col min="12801" max="12801" width="59.7109375" style="2" customWidth="1"/>
    <col min="12802" max="12802" width="10.7109375" style="2" customWidth="1"/>
    <col min="12803" max="12804" width="11.7109375" style="2" customWidth="1"/>
    <col min="12805" max="12806" width="10.7109375" style="2" customWidth="1"/>
    <col min="12807" max="12807" width="6.140625" style="2" customWidth="1"/>
    <col min="12808" max="12811" width="14.42578125" style="2" customWidth="1"/>
    <col min="12812" max="12813" width="15.140625" style="2" customWidth="1"/>
    <col min="12814" max="12815" width="11.42578125" style="2"/>
    <col min="12816" max="12816" width="24.85546875" style="2" customWidth="1"/>
    <col min="12817" max="12817" width="10.7109375" style="2" customWidth="1"/>
    <col min="12818" max="13056" width="11.42578125" style="2"/>
    <col min="13057" max="13057" width="59.7109375" style="2" customWidth="1"/>
    <col min="13058" max="13058" width="10.7109375" style="2" customWidth="1"/>
    <col min="13059" max="13060" width="11.7109375" style="2" customWidth="1"/>
    <col min="13061" max="13062" width="10.7109375" style="2" customWidth="1"/>
    <col min="13063" max="13063" width="6.140625" style="2" customWidth="1"/>
    <col min="13064" max="13067" width="14.42578125" style="2" customWidth="1"/>
    <col min="13068" max="13069" width="15.140625" style="2" customWidth="1"/>
    <col min="13070" max="13071" width="11.42578125" style="2"/>
    <col min="13072" max="13072" width="24.85546875" style="2" customWidth="1"/>
    <col min="13073" max="13073" width="10.7109375" style="2" customWidth="1"/>
    <col min="13074" max="13312" width="11.42578125" style="2"/>
    <col min="13313" max="13313" width="59.7109375" style="2" customWidth="1"/>
    <col min="13314" max="13314" width="10.7109375" style="2" customWidth="1"/>
    <col min="13315" max="13316" width="11.7109375" style="2" customWidth="1"/>
    <col min="13317" max="13318" width="10.7109375" style="2" customWidth="1"/>
    <col min="13319" max="13319" width="6.140625" style="2" customWidth="1"/>
    <col min="13320" max="13323" width="14.42578125" style="2" customWidth="1"/>
    <col min="13324" max="13325" width="15.140625" style="2" customWidth="1"/>
    <col min="13326" max="13327" width="11.42578125" style="2"/>
    <col min="13328" max="13328" width="24.85546875" style="2" customWidth="1"/>
    <col min="13329" max="13329" width="10.7109375" style="2" customWidth="1"/>
    <col min="13330" max="13568" width="11.42578125" style="2"/>
    <col min="13569" max="13569" width="59.7109375" style="2" customWidth="1"/>
    <col min="13570" max="13570" width="10.7109375" style="2" customWidth="1"/>
    <col min="13571" max="13572" width="11.7109375" style="2" customWidth="1"/>
    <col min="13573" max="13574" width="10.7109375" style="2" customWidth="1"/>
    <col min="13575" max="13575" width="6.140625" style="2" customWidth="1"/>
    <col min="13576" max="13579" width="14.42578125" style="2" customWidth="1"/>
    <col min="13580" max="13581" width="15.140625" style="2" customWidth="1"/>
    <col min="13582" max="13583" width="11.42578125" style="2"/>
    <col min="13584" max="13584" width="24.85546875" style="2" customWidth="1"/>
    <col min="13585" max="13585" width="10.7109375" style="2" customWidth="1"/>
    <col min="13586" max="13824" width="11.42578125" style="2"/>
    <col min="13825" max="13825" width="59.7109375" style="2" customWidth="1"/>
    <col min="13826" max="13826" width="10.7109375" style="2" customWidth="1"/>
    <col min="13827" max="13828" width="11.7109375" style="2" customWidth="1"/>
    <col min="13829" max="13830" width="10.7109375" style="2" customWidth="1"/>
    <col min="13831" max="13831" width="6.140625" style="2" customWidth="1"/>
    <col min="13832" max="13835" width="14.42578125" style="2" customWidth="1"/>
    <col min="13836" max="13837" width="15.140625" style="2" customWidth="1"/>
    <col min="13838" max="13839" width="11.42578125" style="2"/>
    <col min="13840" max="13840" width="24.85546875" style="2" customWidth="1"/>
    <col min="13841" max="13841" width="10.7109375" style="2" customWidth="1"/>
    <col min="13842" max="14080" width="11.42578125" style="2"/>
    <col min="14081" max="14081" width="59.7109375" style="2" customWidth="1"/>
    <col min="14082" max="14082" width="10.7109375" style="2" customWidth="1"/>
    <col min="14083" max="14084" width="11.7109375" style="2" customWidth="1"/>
    <col min="14085" max="14086" width="10.7109375" style="2" customWidth="1"/>
    <col min="14087" max="14087" width="6.140625" style="2" customWidth="1"/>
    <col min="14088" max="14091" width="14.42578125" style="2" customWidth="1"/>
    <col min="14092" max="14093" width="15.140625" style="2" customWidth="1"/>
    <col min="14094" max="14095" width="11.42578125" style="2"/>
    <col min="14096" max="14096" width="24.85546875" style="2" customWidth="1"/>
    <col min="14097" max="14097" width="10.7109375" style="2" customWidth="1"/>
    <col min="14098" max="14336" width="11.42578125" style="2"/>
    <col min="14337" max="14337" width="59.7109375" style="2" customWidth="1"/>
    <col min="14338" max="14338" width="10.7109375" style="2" customWidth="1"/>
    <col min="14339" max="14340" width="11.7109375" style="2" customWidth="1"/>
    <col min="14341" max="14342" width="10.7109375" style="2" customWidth="1"/>
    <col min="14343" max="14343" width="6.140625" style="2" customWidth="1"/>
    <col min="14344" max="14347" width="14.42578125" style="2" customWidth="1"/>
    <col min="14348" max="14349" width="15.140625" style="2" customWidth="1"/>
    <col min="14350" max="14351" width="11.42578125" style="2"/>
    <col min="14352" max="14352" width="24.85546875" style="2" customWidth="1"/>
    <col min="14353" max="14353" width="10.7109375" style="2" customWidth="1"/>
    <col min="14354" max="14592" width="11.42578125" style="2"/>
    <col min="14593" max="14593" width="59.7109375" style="2" customWidth="1"/>
    <col min="14594" max="14594" width="10.7109375" style="2" customWidth="1"/>
    <col min="14595" max="14596" width="11.7109375" style="2" customWidth="1"/>
    <col min="14597" max="14598" width="10.7109375" style="2" customWidth="1"/>
    <col min="14599" max="14599" width="6.140625" style="2" customWidth="1"/>
    <col min="14600" max="14603" width="14.42578125" style="2" customWidth="1"/>
    <col min="14604" max="14605" width="15.140625" style="2" customWidth="1"/>
    <col min="14606" max="14607" width="11.42578125" style="2"/>
    <col min="14608" max="14608" width="24.85546875" style="2" customWidth="1"/>
    <col min="14609" max="14609" width="10.7109375" style="2" customWidth="1"/>
    <col min="14610" max="14848" width="11.42578125" style="2"/>
    <col min="14849" max="14849" width="59.7109375" style="2" customWidth="1"/>
    <col min="14850" max="14850" width="10.7109375" style="2" customWidth="1"/>
    <col min="14851" max="14852" width="11.7109375" style="2" customWidth="1"/>
    <col min="14853" max="14854" width="10.7109375" style="2" customWidth="1"/>
    <col min="14855" max="14855" width="6.140625" style="2" customWidth="1"/>
    <col min="14856" max="14859" width="14.42578125" style="2" customWidth="1"/>
    <col min="14860" max="14861" width="15.140625" style="2" customWidth="1"/>
    <col min="14862" max="14863" width="11.42578125" style="2"/>
    <col min="14864" max="14864" width="24.85546875" style="2" customWidth="1"/>
    <col min="14865" max="14865" width="10.7109375" style="2" customWidth="1"/>
    <col min="14866" max="15104" width="11.42578125" style="2"/>
    <col min="15105" max="15105" width="59.7109375" style="2" customWidth="1"/>
    <col min="15106" max="15106" width="10.7109375" style="2" customWidth="1"/>
    <col min="15107" max="15108" width="11.7109375" style="2" customWidth="1"/>
    <col min="15109" max="15110" width="10.7109375" style="2" customWidth="1"/>
    <col min="15111" max="15111" width="6.140625" style="2" customWidth="1"/>
    <col min="15112" max="15115" width="14.42578125" style="2" customWidth="1"/>
    <col min="15116" max="15117" width="15.140625" style="2" customWidth="1"/>
    <col min="15118" max="15119" width="11.42578125" style="2"/>
    <col min="15120" max="15120" width="24.85546875" style="2" customWidth="1"/>
    <col min="15121" max="15121" width="10.7109375" style="2" customWidth="1"/>
    <col min="15122" max="15360" width="11.42578125" style="2"/>
    <col min="15361" max="15361" width="59.7109375" style="2" customWidth="1"/>
    <col min="15362" max="15362" width="10.7109375" style="2" customWidth="1"/>
    <col min="15363" max="15364" width="11.7109375" style="2" customWidth="1"/>
    <col min="15365" max="15366" width="10.7109375" style="2" customWidth="1"/>
    <col min="15367" max="15367" width="6.140625" style="2" customWidth="1"/>
    <col min="15368" max="15371" width="14.42578125" style="2" customWidth="1"/>
    <col min="15372" max="15373" width="15.140625" style="2" customWidth="1"/>
    <col min="15374" max="15375" width="11.42578125" style="2"/>
    <col min="15376" max="15376" width="24.85546875" style="2" customWidth="1"/>
    <col min="15377" max="15377" width="10.7109375" style="2" customWidth="1"/>
    <col min="15378" max="15616" width="11.42578125" style="2"/>
    <col min="15617" max="15617" width="59.7109375" style="2" customWidth="1"/>
    <col min="15618" max="15618" width="10.7109375" style="2" customWidth="1"/>
    <col min="15619" max="15620" width="11.7109375" style="2" customWidth="1"/>
    <col min="15621" max="15622" width="10.7109375" style="2" customWidth="1"/>
    <col min="15623" max="15623" width="6.140625" style="2" customWidth="1"/>
    <col min="15624" max="15627" width="14.42578125" style="2" customWidth="1"/>
    <col min="15628" max="15629" width="15.140625" style="2" customWidth="1"/>
    <col min="15630" max="15631" width="11.42578125" style="2"/>
    <col min="15632" max="15632" width="24.85546875" style="2" customWidth="1"/>
    <col min="15633" max="15633" width="10.7109375" style="2" customWidth="1"/>
    <col min="15634" max="15872" width="11.42578125" style="2"/>
    <col min="15873" max="15873" width="59.7109375" style="2" customWidth="1"/>
    <col min="15874" max="15874" width="10.7109375" style="2" customWidth="1"/>
    <col min="15875" max="15876" width="11.7109375" style="2" customWidth="1"/>
    <col min="15877" max="15878" width="10.7109375" style="2" customWidth="1"/>
    <col min="15879" max="15879" width="6.140625" style="2" customWidth="1"/>
    <col min="15880" max="15883" width="14.42578125" style="2" customWidth="1"/>
    <col min="15884" max="15885" width="15.140625" style="2" customWidth="1"/>
    <col min="15886" max="15887" width="11.42578125" style="2"/>
    <col min="15888" max="15888" width="24.85546875" style="2" customWidth="1"/>
    <col min="15889" max="15889" width="10.7109375" style="2" customWidth="1"/>
    <col min="15890" max="16128" width="11.42578125" style="2"/>
    <col min="16129" max="16129" width="59.7109375" style="2" customWidth="1"/>
    <col min="16130" max="16130" width="10.7109375" style="2" customWidth="1"/>
    <col min="16131" max="16132" width="11.7109375" style="2" customWidth="1"/>
    <col min="16133" max="16134" width="10.7109375" style="2" customWidth="1"/>
    <col min="16135" max="16135" width="6.140625" style="2" customWidth="1"/>
    <col min="16136" max="16139" width="14.42578125" style="2" customWidth="1"/>
    <col min="16140" max="16141" width="15.140625" style="2" customWidth="1"/>
    <col min="16142" max="16143" width="11.42578125" style="2"/>
    <col min="16144" max="16144" width="24.85546875" style="2" customWidth="1"/>
    <col min="16145" max="16145" width="10.7109375" style="2" customWidth="1"/>
    <col min="16146" max="16384" width="11.42578125" style="2"/>
  </cols>
  <sheetData>
    <row r="1" spans="1:19" ht="26.25" x14ac:dyDescent="0.4">
      <c r="A1" s="75" t="s">
        <v>19</v>
      </c>
      <c r="B1" s="927"/>
    </row>
    <row r="2" spans="1:19" s="27" customFormat="1" ht="26.25" x14ac:dyDescent="0.4">
      <c r="A2" s="75" t="s">
        <v>20</v>
      </c>
      <c r="B2" s="927"/>
      <c r="G2" s="72"/>
      <c r="H2" s="28"/>
      <c r="I2" s="57"/>
      <c r="K2" s="29"/>
      <c r="O2" s="2"/>
      <c r="P2" s="2"/>
      <c r="Q2" s="82"/>
      <c r="R2" s="2"/>
    </row>
    <row r="3" spans="1:19" s="27" customFormat="1" ht="60" customHeight="1" x14ac:dyDescent="0.35">
      <c r="A3" s="791"/>
      <c r="B3" s="928"/>
      <c r="H3" s="28"/>
      <c r="I3" s="57"/>
      <c r="K3" s="29"/>
      <c r="O3" s="2"/>
      <c r="P3" s="2"/>
      <c r="Q3" s="82"/>
      <c r="R3" s="2"/>
    </row>
    <row r="4" spans="1:19" ht="18" customHeight="1" x14ac:dyDescent="0.25">
      <c r="B4" s="6"/>
      <c r="C4" s="6"/>
      <c r="D4" s="6"/>
      <c r="E4" s="6"/>
      <c r="F4" s="6"/>
      <c r="G4" s="6"/>
      <c r="H4" s="6"/>
      <c r="I4" s="6"/>
      <c r="J4" s="6"/>
      <c r="K4" s="6"/>
      <c r="L4" s="6"/>
      <c r="M4" s="6"/>
      <c r="N4" s="7"/>
    </row>
    <row r="5" spans="1:19" x14ac:dyDescent="0.25">
      <c r="A5" s="2" t="s">
        <v>618</v>
      </c>
      <c r="B5" s="925"/>
      <c r="C5" s="925"/>
      <c r="D5" s="925"/>
      <c r="E5" s="925"/>
      <c r="F5" s="925"/>
      <c r="G5" s="925"/>
      <c r="H5" s="925"/>
      <c r="I5" s="925"/>
      <c r="J5" s="925"/>
      <c r="K5" s="925"/>
      <c r="L5" s="925"/>
      <c r="M5" s="925"/>
      <c r="N5" s="7"/>
    </row>
    <row r="6" spans="1:19" ht="18.75" thickBot="1" x14ac:dyDescent="0.3">
      <c r="A6" s="2" t="s">
        <v>709</v>
      </c>
      <c r="B6" s="929"/>
      <c r="C6" s="7"/>
      <c r="D6" s="7"/>
      <c r="E6" s="7"/>
      <c r="F6" s="7"/>
      <c r="G6" s="73"/>
      <c r="H6" s="67"/>
      <c r="I6" s="58"/>
      <c r="J6" s="7"/>
      <c r="K6" s="7"/>
      <c r="M6" s="7"/>
      <c r="N6" s="7"/>
    </row>
    <row r="7" spans="1:19" ht="72.75" customHeight="1" x14ac:dyDescent="0.25">
      <c r="A7" s="1398" t="s">
        <v>0</v>
      </c>
      <c r="B7" s="1400" t="s">
        <v>281</v>
      </c>
      <c r="C7" s="1402" t="s">
        <v>1</v>
      </c>
      <c r="D7" s="1404" t="s">
        <v>2</v>
      </c>
      <c r="E7" s="1406" t="s">
        <v>3</v>
      </c>
      <c r="F7" s="1407"/>
      <c r="G7" s="1293" t="s">
        <v>36</v>
      </c>
      <c r="H7" s="1392" t="s">
        <v>619</v>
      </c>
      <c r="I7" s="1393"/>
      <c r="J7" s="1394" t="s">
        <v>44</v>
      </c>
      <c r="K7" s="1395"/>
      <c r="L7" s="1396" t="s">
        <v>4</v>
      </c>
      <c r="M7" s="1397"/>
      <c r="N7" s="1410"/>
      <c r="O7" s="1410"/>
    </row>
    <row r="8" spans="1:19" ht="38.25" customHeight="1" thickBot="1" x14ac:dyDescent="0.3">
      <c r="A8" s="1399"/>
      <c r="B8" s="1401"/>
      <c r="C8" s="1403"/>
      <c r="D8" s="1405"/>
      <c r="E8" s="1408"/>
      <c r="F8" s="1409"/>
      <c r="G8" s="1391"/>
      <c r="H8" s="930" t="s">
        <v>620</v>
      </c>
      <c r="I8" s="931" t="s">
        <v>18</v>
      </c>
      <c r="J8" s="932" t="s">
        <v>43</v>
      </c>
      <c r="K8" s="931" t="s">
        <v>42</v>
      </c>
      <c r="L8" s="933" t="s">
        <v>18</v>
      </c>
      <c r="M8" s="934" t="s">
        <v>621</v>
      </c>
      <c r="N8" s="1410"/>
      <c r="O8" s="1410"/>
      <c r="P8" s="2"/>
      <c r="Q8" s="82"/>
      <c r="R8" s="2"/>
    </row>
    <row r="9" spans="1:19" ht="24.95" customHeight="1" x14ac:dyDescent="0.25">
      <c r="A9" s="935" t="s">
        <v>622</v>
      </c>
      <c r="B9" s="936">
        <v>446980</v>
      </c>
      <c r="C9" s="9">
        <v>1200</v>
      </c>
      <c r="D9" s="937">
        <v>600</v>
      </c>
      <c r="E9" s="938">
        <v>30</v>
      </c>
      <c r="F9" s="11">
        <v>50</v>
      </c>
      <c r="G9" s="61" t="s">
        <v>46</v>
      </c>
      <c r="H9" s="45">
        <v>104</v>
      </c>
      <c r="I9" s="939">
        <v>2.9952000000000001</v>
      </c>
      <c r="J9" s="201">
        <v>65.894400000000005</v>
      </c>
      <c r="K9" s="180">
        <v>71.884799999999998</v>
      </c>
      <c r="L9" s="971" t="s">
        <v>417</v>
      </c>
      <c r="M9" s="940"/>
      <c r="N9" s="928"/>
      <c r="O9" s="2"/>
      <c r="P9" s="2"/>
      <c r="Q9" s="2"/>
      <c r="R9" s="2"/>
      <c r="S9" s="2"/>
    </row>
    <row r="10" spans="1:19" ht="24.95" customHeight="1" x14ac:dyDescent="0.25">
      <c r="A10" s="941" t="s">
        <v>623</v>
      </c>
      <c r="B10" s="942">
        <v>446986</v>
      </c>
      <c r="C10" s="12">
        <v>1200</v>
      </c>
      <c r="D10" s="943">
        <v>600</v>
      </c>
      <c r="E10" s="944">
        <v>50</v>
      </c>
      <c r="F10" s="14">
        <v>70</v>
      </c>
      <c r="G10" s="62" t="s">
        <v>46</v>
      </c>
      <c r="H10" s="47">
        <v>72</v>
      </c>
      <c r="I10" s="945">
        <v>3.1104000000000003</v>
      </c>
      <c r="J10" s="192">
        <v>68.42880000000001</v>
      </c>
      <c r="K10" s="182">
        <v>74.649600000000007</v>
      </c>
      <c r="L10" s="972" t="s">
        <v>417</v>
      </c>
      <c r="M10" s="946"/>
      <c r="N10" s="928"/>
      <c r="O10" s="2"/>
      <c r="P10" s="2"/>
      <c r="Q10" s="2"/>
      <c r="R10" s="2"/>
      <c r="S10" s="2"/>
    </row>
    <row r="11" spans="1:19" ht="24.95" customHeight="1" thickBot="1" x14ac:dyDescent="0.3">
      <c r="A11" s="947" t="s">
        <v>624</v>
      </c>
      <c r="B11" s="948">
        <v>447042</v>
      </c>
      <c r="C11" s="15">
        <v>1200</v>
      </c>
      <c r="D11" s="949">
        <v>600</v>
      </c>
      <c r="E11" s="950">
        <v>40</v>
      </c>
      <c r="F11" s="17">
        <v>40</v>
      </c>
      <c r="G11" s="63" t="s">
        <v>46</v>
      </c>
      <c r="H11" s="49">
        <v>108</v>
      </c>
      <c r="I11" s="951">
        <v>3.1103999999999998</v>
      </c>
      <c r="J11" s="195">
        <v>68.428799999999995</v>
      </c>
      <c r="K11" s="184">
        <v>74.649599999999992</v>
      </c>
      <c r="L11" s="648" t="s">
        <v>417</v>
      </c>
      <c r="M11" s="952"/>
      <c r="N11" s="928"/>
      <c r="O11" s="2"/>
      <c r="P11" s="2"/>
      <c r="Q11" s="2"/>
      <c r="R11" s="2"/>
      <c r="S11" s="2"/>
    </row>
    <row r="12" spans="1:19" ht="24.95" customHeight="1" x14ac:dyDescent="0.25">
      <c r="A12" s="935" t="s">
        <v>622</v>
      </c>
      <c r="B12" s="936">
        <v>433187</v>
      </c>
      <c r="C12" s="9">
        <v>1200</v>
      </c>
      <c r="D12" s="937">
        <v>1200</v>
      </c>
      <c r="E12" s="938">
        <v>30</v>
      </c>
      <c r="F12" s="11">
        <v>50</v>
      </c>
      <c r="G12" s="61" t="s">
        <v>46</v>
      </c>
      <c r="H12" s="45">
        <v>52</v>
      </c>
      <c r="I12" s="939">
        <v>2.9952000000000001</v>
      </c>
      <c r="J12" s="201">
        <v>65.894400000000005</v>
      </c>
      <c r="K12" s="180">
        <v>71.884799999999998</v>
      </c>
      <c r="L12" s="971">
        <v>5577</v>
      </c>
      <c r="M12" s="940">
        <f>L12*(C12*D12*((E12+F12)/2)/1000000000)</f>
        <v>321.23519999999996</v>
      </c>
      <c r="N12" s="928"/>
      <c r="O12" s="2"/>
      <c r="P12" s="2"/>
      <c r="Q12" s="2"/>
      <c r="R12" s="2"/>
      <c r="S12" s="2"/>
    </row>
    <row r="13" spans="1:19" ht="24.95" customHeight="1" x14ac:dyDescent="0.25">
      <c r="A13" s="941" t="s">
        <v>623</v>
      </c>
      <c r="B13" s="942">
        <v>433188</v>
      </c>
      <c r="C13" s="12">
        <v>1200</v>
      </c>
      <c r="D13" s="943">
        <v>1200</v>
      </c>
      <c r="E13" s="944">
        <v>50</v>
      </c>
      <c r="F13" s="14">
        <v>70</v>
      </c>
      <c r="G13" s="62" t="s">
        <v>46</v>
      </c>
      <c r="H13" s="47">
        <v>36</v>
      </c>
      <c r="I13" s="945">
        <v>3.1104000000000003</v>
      </c>
      <c r="J13" s="192">
        <v>68.42880000000001</v>
      </c>
      <c r="K13" s="182">
        <v>74.649600000000007</v>
      </c>
      <c r="L13" s="972">
        <v>5308</v>
      </c>
      <c r="M13" s="946">
        <f>L13*(C13*D13*((E13+F13)/2)/1000000000)</f>
        <v>458.6112</v>
      </c>
      <c r="N13" s="928"/>
      <c r="O13" s="2"/>
      <c r="P13" s="2"/>
      <c r="Q13" s="2"/>
      <c r="R13" s="2"/>
      <c r="S13" s="2"/>
    </row>
    <row r="14" spans="1:19" ht="24.95" customHeight="1" thickBot="1" x14ac:dyDescent="0.3">
      <c r="A14" s="947" t="s">
        <v>624</v>
      </c>
      <c r="B14" s="948">
        <v>433190</v>
      </c>
      <c r="C14" s="15">
        <v>1200</v>
      </c>
      <c r="D14" s="949">
        <v>1200</v>
      </c>
      <c r="E14" s="950">
        <v>40</v>
      </c>
      <c r="F14" s="17">
        <v>40</v>
      </c>
      <c r="G14" s="63" t="s">
        <v>46</v>
      </c>
      <c r="H14" s="49">
        <v>54</v>
      </c>
      <c r="I14" s="951">
        <v>3.1103999999999998</v>
      </c>
      <c r="J14" s="195">
        <v>68.428799999999995</v>
      </c>
      <c r="K14" s="184">
        <v>74.649599999999992</v>
      </c>
      <c r="L14" s="648">
        <v>4725</v>
      </c>
      <c r="M14" s="952">
        <f>L14*(C14*D14*((E14+F14)/2)/1000000000)</f>
        <v>272.15999999999997</v>
      </c>
      <c r="N14" s="928"/>
      <c r="O14" s="2"/>
      <c r="P14" s="2"/>
      <c r="Q14" s="2"/>
      <c r="R14" s="2"/>
      <c r="S14" s="2"/>
    </row>
    <row r="15" spans="1:19" ht="24.95" customHeight="1" x14ac:dyDescent="0.25">
      <c r="A15" s="935" t="s">
        <v>625</v>
      </c>
      <c r="B15" s="936">
        <v>433191</v>
      </c>
      <c r="C15" s="9">
        <v>1200</v>
      </c>
      <c r="D15" s="937">
        <v>600</v>
      </c>
      <c r="E15" s="938">
        <v>30</v>
      </c>
      <c r="F15" s="11">
        <v>55</v>
      </c>
      <c r="G15" s="61" t="s">
        <v>46</v>
      </c>
      <c r="H15" s="45">
        <v>88</v>
      </c>
      <c r="I15" s="939">
        <v>2.6928000000000001</v>
      </c>
      <c r="J15" s="201">
        <v>59.241600000000005</v>
      </c>
      <c r="K15" s="180">
        <v>64.627200000000002</v>
      </c>
      <c r="L15" s="971">
        <v>5630</v>
      </c>
      <c r="M15" s="969">
        <f t="shared" ref="M15:M18" si="0">L15*(C15*D15*((E15+F15)/2)/1000000000)</f>
        <v>172.27799999999999</v>
      </c>
      <c r="N15" s="928"/>
      <c r="O15" s="2"/>
      <c r="P15" s="2"/>
      <c r="Q15" s="2"/>
      <c r="R15" s="2"/>
      <c r="S15" s="2"/>
    </row>
    <row r="16" spans="1:19" ht="24.95" customHeight="1" x14ac:dyDescent="0.25">
      <c r="A16" s="941" t="s">
        <v>626</v>
      </c>
      <c r="B16" s="942">
        <v>433192</v>
      </c>
      <c r="C16" s="12">
        <v>1200</v>
      </c>
      <c r="D16" s="943">
        <v>600</v>
      </c>
      <c r="E16" s="944">
        <v>55</v>
      </c>
      <c r="F16" s="14">
        <v>80</v>
      </c>
      <c r="G16" s="62" t="s">
        <v>46</v>
      </c>
      <c r="H16" s="47">
        <v>64</v>
      </c>
      <c r="I16" s="945">
        <v>3.1103999999999998</v>
      </c>
      <c r="J16" s="192">
        <v>68.428799999999995</v>
      </c>
      <c r="K16" s="182">
        <v>74.649599999999992</v>
      </c>
      <c r="L16" s="972">
        <v>5235</v>
      </c>
      <c r="M16" s="946">
        <f t="shared" si="0"/>
        <v>254.42099999999999</v>
      </c>
      <c r="N16" s="928"/>
      <c r="O16" s="2"/>
      <c r="P16" s="2"/>
      <c r="Q16" s="2"/>
      <c r="R16" s="2"/>
      <c r="S16" s="2"/>
    </row>
    <row r="17" spans="1:19" ht="24.95" customHeight="1" thickBot="1" x14ac:dyDescent="0.3">
      <c r="A17" s="947" t="s">
        <v>627</v>
      </c>
      <c r="B17" s="948">
        <v>43393</v>
      </c>
      <c r="C17" s="15">
        <v>1200</v>
      </c>
      <c r="D17" s="949">
        <v>600</v>
      </c>
      <c r="E17" s="950">
        <v>50</v>
      </c>
      <c r="F17" s="17">
        <v>50</v>
      </c>
      <c r="G17" s="63" t="s">
        <v>46</v>
      </c>
      <c r="H17" s="306">
        <v>192</v>
      </c>
      <c r="I17" s="248">
        <v>6.9119999999999999</v>
      </c>
      <c r="J17" s="616">
        <v>76.031999999999996</v>
      </c>
      <c r="K17" s="129">
        <v>82.944000000000003</v>
      </c>
      <c r="L17" s="648">
        <v>4729</v>
      </c>
      <c r="M17" s="952">
        <f t="shared" si="0"/>
        <v>170.244</v>
      </c>
      <c r="N17" s="928"/>
      <c r="O17" s="2"/>
      <c r="P17" s="2"/>
      <c r="Q17" s="2"/>
      <c r="R17" s="2"/>
      <c r="S17" s="2"/>
    </row>
    <row r="18" spans="1:19" s="745" customFormat="1" ht="24.95" customHeight="1" thickBot="1" x14ac:dyDescent="0.3">
      <c r="A18" s="958" t="s">
        <v>628</v>
      </c>
      <c r="B18" s="959">
        <v>405797</v>
      </c>
      <c r="C18" s="960">
        <v>1200</v>
      </c>
      <c r="D18" s="961">
        <v>100</v>
      </c>
      <c r="E18" s="962">
        <v>0</v>
      </c>
      <c r="F18" s="963">
        <v>100</v>
      </c>
      <c r="G18" s="964" t="s">
        <v>46</v>
      </c>
      <c r="H18" s="965">
        <v>480</v>
      </c>
      <c r="I18" s="966">
        <v>2.88</v>
      </c>
      <c r="J18" s="967">
        <v>63.36</v>
      </c>
      <c r="K18" s="968">
        <v>69.12</v>
      </c>
      <c r="L18" s="973">
        <v>8691</v>
      </c>
      <c r="M18" s="970">
        <f t="shared" si="0"/>
        <v>52.146000000000001</v>
      </c>
      <c r="N18" s="928"/>
      <c r="O18" s="2"/>
      <c r="P18" s="2"/>
      <c r="Q18" s="2"/>
    </row>
    <row r="19" spans="1:19" ht="20.100000000000001" customHeight="1" x14ac:dyDescent="0.25">
      <c r="A19" s="18"/>
      <c r="B19" s="954"/>
      <c r="J19" s="595"/>
      <c r="K19" s="595"/>
    </row>
    <row r="20" spans="1:19" ht="18.75" customHeight="1" x14ac:dyDescent="0.25">
      <c r="A20" s="1" t="s">
        <v>7</v>
      </c>
      <c r="B20" s="91"/>
      <c r="C20" s="91"/>
      <c r="D20" s="91"/>
      <c r="G20" s="2"/>
      <c r="J20" s="1275" t="s">
        <v>21</v>
      </c>
      <c r="K20" s="1275"/>
      <c r="L20" s="1275"/>
      <c r="M20" s="1275"/>
      <c r="O20" s="2"/>
      <c r="P20" s="2"/>
      <c r="Q20" s="82"/>
      <c r="R20" s="2"/>
      <c r="S20" s="2"/>
    </row>
    <row r="21" spans="1:19" s="745" customFormat="1" ht="20.100000000000001" customHeight="1" x14ac:dyDescent="0.25">
      <c r="A21" s="471" t="s">
        <v>423</v>
      </c>
      <c r="B21" s="32"/>
      <c r="C21" s="32"/>
      <c r="D21" s="32"/>
      <c r="H21" s="746"/>
      <c r="I21" s="748"/>
      <c r="J21" s="1244" t="s">
        <v>40</v>
      </c>
      <c r="K21" s="1244"/>
      <c r="L21" s="1244"/>
      <c r="M21" s="1244"/>
      <c r="N21" s="2"/>
      <c r="O21" s="2"/>
      <c r="Q21" s="953"/>
    </row>
    <row r="22" spans="1:19" ht="20.100000000000001" customHeight="1" x14ac:dyDescent="0.25">
      <c r="A22" s="26" t="s">
        <v>438</v>
      </c>
      <c r="B22" s="2"/>
      <c r="G22" s="2"/>
      <c r="J22" s="1244" t="s">
        <v>39</v>
      </c>
      <c r="K22" s="1244"/>
      <c r="L22" s="1244"/>
      <c r="M22" s="1244"/>
      <c r="O22" s="2"/>
      <c r="P22" s="2"/>
      <c r="Q22" s="82"/>
      <c r="R22" s="2"/>
      <c r="S22" s="2"/>
    </row>
    <row r="23" spans="1:19" ht="20.100000000000001" customHeight="1" x14ac:dyDescent="0.25">
      <c r="A23" s="26" t="s">
        <v>24</v>
      </c>
      <c r="B23" s="2"/>
      <c r="G23" s="2"/>
      <c r="J23" s="1245" t="s">
        <v>37</v>
      </c>
      <c r="K23" s="1245"/>
      <c r="L23" s="1245"/>
      <c r="M23" s="1245"/>
      <c r="O23" s="2"/>
      <c r="P23" s="2"/>
      <c r="Q23" s="82"/>
      <c r="R23" s="2"/>
      <c r="S23" s="2"/>
    </row>
    <row r="24" spans="1:19" ht="20.100000000000001" customHeight="1" x14ac:dyDescent="0.25">
      <c r="A24" s="26" t="s">
        <v>52</v>
      </c>
      <c r="B24" s="2"/>
      <c r="G24" s="2"/>
      <c r="L24" s="1245"/>
      <c r="M24" s="1245"/>
      <c r="O24" s="2"/>
      <c r="P24" s="2"/>
      <c r="Q24" s="82"/>
      <c r="R24" s="2"/>
      <c r="S24" s="2"/>
    </row>
    <row r="25" spans="1:19" ht="20.100000000000001" customHeight="1" x14ac:dyDescent="0.25">
      <c r="A25" s="30" t="s">
        <v>541</v>
      </c>
      <c r="B25" s="2"/>
      <c r="G25" s="2"/>
      <c r="O25" s="2"/>
      <c r="P25" s="2"/>
      <c r="Q25" s="82"/>
      <c r="R25" s="2"/>
      <c r="S25" s="2"/>
    </row>
    <row r="26" spans="1:19" ht="20.100000000000001" customHeight="1" x14ac:dyDescent="0.25">
      <c r="A26" s="30" t="s">
        <v>542</v>
      </c>
      <c r="B26" s="2"/>
      <c r="G26" s="2"/>
      <c r="O26" s="2"/>
      <c r="P26" s="2"/>
      <c r="Q26" s="82"/>
      <c r="R26" s="2"/>
      <c r="S26" s="2"/>
    </row>
    <row r="27" spans="1:19" ht="20.100000000000001" customHeight="1" x14ac:dyDescent="0.25">
      <c r="A27" s="30" t="s">
        <v>559</v>
      </c>
      <c r="B27" s="2"/>
      <c r="G27" s="2"/>
      <c r="O27" s="2"/>
      <c r="P27" s="2"/>
      <c r="Q27" s="82"/>
      <c r="R27" s="2"/>
      <c r="S27" s="2"/>
    </row>
    <row r="28" spans="1:19" ht="20.100000000000001" customHeight="1" x14ac:dyDescent="0.25">
      <c r="A28" s="957"/>
      <c r="B28" s="956"/>
      <c r="G28" s="2"/>
      <c r="O28" s="2"/>
      <c r="P28" s="2"/>
      <c r="Q28" s="82"/>
      <c r="R28" s="2"/>
      <c r="S28" s="2"/>
    </row>
    <row r="29" spans="1:19" ht="20.100000000000001" customHeight="1" x14ac:dyDescent="0.25">
      <c r="A29" s="26"/>
      <c r="B29" s="955"/>
      <c r="G29" s="2"/>
      <c r="L29" s="1245"/>
      <c r="M29" s="1245"/>
      <c r="O29" s="81"/>
      <c r="P29" s="2"/>
      <c r="Q29" s="82"/>
      <c r="R29" s="2"/>
      <c r="S29" s="2"/>
    </row>
  </sheetData>
  <mergeCells count="17">
    <mergeCell ref="L24:M24"/>
    <mergeCell ref="L29:M29"/>
    <mergeCell ref="N7:N8"/>
    <mergeCell ref="O7:O8"/>
    <mergeCell ref="J21:M21"/>
    <mergeCell ref="J22:M22"/>
    <mergeCell ref="J23:M23"/>
    <mergeCell ref="J20:M20"/>
    <mergeCell ref="G7:G8"/>
    <mergeCell ref="H7:I7"/>
    <mergeCell ref="J7:K7"/>
    <mergeCell ref="L7:M7"/>
    <mergeCell ref="A7:A8"/>
    <mergeCell ref="B7:B8"/>
    <mergeCell ref="C7:C8"/>
    <mergeCell ref="D7:D8"/>
    <mergeCell ref="E7:F8"/>
  </mergeCells>
  <hyperlinks>
    <hyperlink ref="J23" r:id="rId1"/>
  </hyperlinks>
  <pageMargins left="0.7" right="0.7" top="0.75" bottom="0.75" header="0.3" footer="0.3"/>
  <pageSetup paperSize="9" scale="42" orientation="portrait" r:id="rId2"/>
  <drawing r:id="rId3"/>
  <legacyDrawing r:id="rId4"/>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S29"/>
  <sheetViews>
    <sheetView view="pageBreakPreview" zoomScale="70" zoomScaleNormal="70" zoomScaleSheetLayoutView="70" workbookViewId="0">
      <selection activeCell="L9" sqref="L9:L18"/>
    </sheetView>
  </sheetViews>
  <sheetFormatPr defaultColWidth="11.42578125" defaultRowHeight="18" x14ac:dyDescent="0.25"/>
  <cols>
    <col min="1" max="1" width="59.7109375" style="3" customWidth="1"/>
    <col min="2" max="2" width="10.7109375" style="567" customWidth="1"/>
    <col min="3" max="4" width="11.7109375" style="2" customWidth="1"/>
    <col min="5" max="6" width="10.7109375" style="2" customWidth="1"/>
    <col min="7" max="7" width="6.140625" style="71" customWidth="1"/>
    <col min="8" max="8" width="14.42578125" style="4" customWidth="1"/>
    <col min="9" max="9" width="14.42578125" style="56" customWidth="1"/>
    <col min="10" max="10" width="14.42578125" style="2" customWidth="1"/>
    <col min="11" max="11" width="14.42578125" style="5" customWidth="1"/>
    <col min="12" max="13" width="15.140625" style="2" customWidth="1"/>
    <col min="14" max="14" width="11.42578125" style="2"/>
    <col min="15" max="15" width="11.42578125" style="79"/>
    <col min="16" max="16" width="24.85546875" style="79" customWidth="1"/>
    <col min="17" max="17" width="15.85546875" style="86" customWidth="1"/>
    <col min="18" max="18" width="11.42578125" style="79"/>
    <col min="20" max="256" width="11.42578125" style="2"/>
    <col min="257" max="257" width="59.7109375" style="2" customWidth="1"/>
    <col min="258" max="258" width="10.7109375" style="2" customWidth="1"/>
    <col min="259" max="260" width="11.7109375" style="2" customWidth="1"/>
    <col min="261" max="262" width="10.7109375" style="2" customWidth="1"/>
    <col min="263" max="263" width="6.140625" style="2" customWidth="1"/>
    <col min="264" max="267" width="14.42578125" style="2" customWidth="1"/>
    <col min="268" max="269" width="15.140625" style="2" customWidth="1"/>
    <col min="270" max="271" width="11.42578125" style="2"/>
    <col min="272" max="272" width="24.85546875" style="2" customWidth="1"/>
    <col min="273" max="273" width="10.7109375" style="2" customWidth="1"/>
    <col min="274" max="512" width="11.42578125" style="2"/>
    <col min="513" max="513" width="59.7109375" style="2" customWidth="1"/>
    <col min="514" max="514" width="10.7109375" style="2" customWidth="1"/>
    <col min="515" max="516" width="11.7109375" style="2" customWidth="1"/>
    <col min="517" max="518" width="10.7109375" style="2" customWidth="1"/>
    <col min="519" max="519" width="6.140625" style="2" customWidth="1"/>
    <col min="520" max="523" width="14.42578125" style="2" customWidth="1"/>
    <col min="524" max="525" width="15.140625" style="2" customWidth="1"/>
    <col min="526" max="527" width="11.42578125" style="2"/>
    <col min="528" max="528" width="24.85546875" style="2" customWidth="1"/>
    <col min="529" max="529" width="10.7109375" style="2" customWidth="1"/>
    <col min="530" max="768" width="11.42578125" style="2"/>
    <col min="769" max="769" width="59.7109375" style="2" customWidth="1"/>
    <col min="770" max="770" width="10.7109375" style="2" customWidth="1"/>
    <col min="771" max="772" width="11.7109375" style="2" customWidth="1"/>
    <col min="773" max="774" width="10.7109375" style="2" customWidth="1"/>
    <col min="775" max="775" width="6.140625" style="2" customWidth="1"/>
    <col min="776" max="779" width="14.42578125" style="2" customWidth="1"/>
    <col min="780" max="781" width="15.140625" style="2" customWidth="1"/>
    <col min="782" max="783" width="11.42578125" style="2"/>
    <col min="784" max="784" width="24.85546875" style="2" customWidth="1"/>
    <col min="785" max="785" width="10.7109375" style="2" customWidth="1"/>
    <col min="786" max="1024" width="11.42578125" style="2"/>
    <col min="1025" max="1025" width="59.7109375" style="2" customWidth="1"/>
    <col min="1026" max="1026" width="10.7109375" style="2" customWidth="1"/>
    <col min="1027" max="1028" width="11.7109375" style="2" customWidth="1"/>
    <col min="1029" max="1030" width="10.7109375" style="2" customWidth="1"/>
    <col min="1031" max="1031" width="6.140625" style="2" customWidth="1"/>
    <col min="1032" max="1035" width="14.42578125" style="2" customWidth="1"/>
    <col min="1036" max="1037" width="15.140625" style="2" customWidth="1"/>
    <col min="1038" max="1039" width="11.42578125" style="2"/>
    <col min="1040" max="1040" width="24.85546875" style="2" customWidth="1"/>
    <col min="1041" max="1041" width="10.7109375" style="2" customWidth="1"/>
    <col min="1042" max="1280" width="11.42578125" style="2"/>
    <col min="1281" max="1281" width="59.7109375" style="2" customWidth="1"/>
    <col min="1282" max="1282" width="10.7109375" style="2" customWidth="1"/>
    <col min="1283" max="1284" width="11.7109375" style="2" customWidth="1"/>
    <col min="1285" max="1286" width="10.7109375" style="2" customWidth="1"/>
    <col min="1287" max="1287" width="6.140625" style="2" customWidth="1"/>
    <col min="1288" max="1291" width="14.42578125" style="2" customWidth="1"/>
    <col min="1292" max="1293" width="15.140625" style="2" customWidth="1"/>
    <col min="1294" max="1295" width="11.42578125" style="2"/>
    <col min="1296" max="1296" width="24.85546875" style="2" customWidth="1"/>
    <col min="1297" max="1297" width="10.7109375" style="2" customWidth="1"/>
    <col min="1298" max="1536" width="11.42578125" style="2"/>
    <col min="1537" max="1537" width="59.7109375" style="2" customWidth="1"/>
    <col min="1538" max="1538" width="10.7109375" style="2" customWidth="1"/>
    <col min="1539" max="1540" width="11.7109375" style="2" customWidth="1"/>
    <col min="1541" max="1542" width="10.7109375" style="2" customWidth="1"/>
    <col min="1543" max="1543" width="6.140625" style="2" customWidth="1"/>
    <col min="1544" max="1547" width="14.42578125" style="2" customWidth="1"/>
    <col min="1548" max="1549" width="15.140625" style="2" customWidth="1"/>
    <col min="1550" max="1551" width="11.42578125" style="2"/>
    <col min="1552" max="1552" width="24.85546875" style="2" customWidth="1"/>
    <col min="1553" max="1553" width="10.7109375" style="2" customWidth="1"/>
    <col min="1554" max="1792" width="11.42578125" style="2"/>
    <col min="1793" max="1793" width="59.7109375" style="2" customWidth="1"/>
    <col min="1794" max="1794" width="10.7109375" style="2" customWidth="1"/>
    <col min="1795" max="1796" width="11.7109375" style="2" customWidth="1"/>
    <col min="1797" max="1798" width="10.7109375" style="2" customWidth="1"/>
    <col min="1799" max="1799" width="6.140625" style="2" customWidth="1"/>
    <col min="1800" max="1803" width="14.42578125" style="2" customWidth="1"/>
    <col min="1804" max="1805" width="15.140625" style="2" customWidth="1"/>
    <col min="1806" max="1807" width="11.42578125" style="2"/>
    <col min="1808" max="1808" width="24.85546875" style="2" customWidth="1"/>
    <col min="1809" max="1809" width="10.7109375" style="2" customWidth="1"/>
    <col min="1810" max="2048" width="11.42578125" style="2"/>
    <col min="2049" max="2049" width="59.7109375" style="2" customWidth="1"/>
    <col min="2050" max="2050" width="10.7109375" style="2" customWidth="1"/>
    <col min="2051" max="2052" width="11.7109375" style="2" customWidth="1"/>
    <col min="2053" max="2054" width="10.7109375" style="2" customWidth="1"/>
    <col min="2055" max="2055" width="6.140625" style="2" customWidth="1"/>
    <col min="2056" max="2059" width="14.42578125" style="2" customWidth="1"/>
    <col min="2060" max="2061" width="15.140625" style="2" customWidth="1"/>
    <col min="2062" max="2063" width="11.42578125" style="2"/>
    <col min="2064" max="2064" width="24.85546875" style="2" customWidth="1"/>
    <col min="2065" max="2065" width="10.7109375" style="2" customWidth="1"/>
    <col min="2066" max="2304" width="11.42578125" style="2"/>
    <col min="2305" max="2305" width="59.7109375" style="2" customWidth="1"/>
    <col min="2306" max="2306" width="10.7109375" style="2" customWidth="1"/>
    <col min="2307" max="2308" width="11.7109375" style="2" customWidth="1"/>
    <col min="2309" max="2310" width="10.7109375" style="2" customWidth="1"/>
    <col min="2311" max="2311" width="6.140625" style="2" customWidth="1"/>
    <col min="2312" max="2315" width="14.42578125" style="2" customWidth="1"/>
    <col min="2316" max="2317" width="15.140625" style="2" customWidth="1"/>
    <col min="2318" max="2319" width="11.42578125" style="2"/>
    <col min="2320" max="2320" width="24.85546875" style="2" customWidth="1"/>
    <col min="2321" max="2321" width="10.7109375" style="2" customWidth="1"/>
    <col min="2322" max="2560" width="11.42578125" style="2"/>
    <col min="2561" max="2561" width="59.7109375" style="2" customWidth="1"/>
    <col min="2562" max="2562" width="10.7109375" style="2" customWidth="1"/>
    <col min="2563" max="2564" width="11.7109375" style="2" customWidth="1"/>
    <col min="2565" max="2566" width="10.7109375" style="2" customWidth="1"/>
    <col min="2567" max="2567" width="6.140625" style="2" customWidth="1"/>
    <col min="2568" max="2571" width="14.42578125" style="2" customWidth="1"/>
    <col min="2572" max="2573" width="15.140625" style="2" customWidth="1"/>
    <col min="2574" max="2575" width="11.42578125" style="2"/>
    <col min="2576" max="2576" width="24.85546875" style="2" customWidth="1"/>
    <col min="2577" max="2577" width="10.7109375" style="2" customWidth="1"/>
    <col min="2578" max="2816" width="11.42578125" style="2"/>
    <col min="2817" max="2817" width="59.7109375" style="2" customWidth="1"/>
    <col min="2818" max="2818" width="10.7109375" style="2" customWidth="1"/>
    <col min="2819" max="2820" width="11.7109375" style="2" customWidth="1"/>
    <col min="2821" max="2822" width="10.7109375" style="2" customWidth="1"/>
    <col min="2823" max="2823" width="6.140625" style="2" customWidth="1"/>
    <col min="2824" max="2827" width="14.42578125" style="2" customWidth="1"/>
    <col min="2828" max="2829" width="15.140625" style="2" customWidth="1"/>
    <col min="2830" max="2831" width="11.42578125" style="2"/>
    <col min="2832" max="2832" width="24.85546875" style="2" customWidth="1"/>
    <col min="2833" max="2833" width="10.7109375" style="2" customWidth="1"/>
    <col min="2834" max="3072" width="11.42578125" style="2"/>
    <col min="3073" max="3073" width="59.7109375" style="2" customWidth="1"/>
    <col min="3074" max="3074" width="10.7109375" style="2" customWidth="1"/>
    <col min="3075" max="3076" width="11.7109375" style="2" customWidth="1"/>
    <col min="3077" max="3078" width="10.7109375" style="2" customWidth="1"/>
    <col min="3079" max="3079" width="6.140625" style="2" customWidth="1"/>
    <col min="3080" max="3083" width="14.42578125" style="2" customWidth="1"/>
    <col min="3084" max="3085" width="15.140625" style="2" customWidth="1"/>
    <col min="3086" max="3087" width="11.42578125" style="2"/>
    <col min="3088" max="3088" width="24.85546875" style="2" customWidth="1"/>
    <col min="3089" max="3089" width="10.7109375" style="2" customWidth="1"/>
    <col min="3090" max="3328" width="11.42578125" style="2"/>
    <col min="3329" max="3329" width="59.7109375" style="2" customWidth="1"/>
    <col min="3330" max="3330" width="10.7109375" style="2" customWidth="1"/>
    <col min="3331" max="3332" width="11.7109375" style="2" customWidth="1"/>
    <col min="3333" max="3334" width="10.7109375" style="2" customWidth="1"/>
    <col min="3335" max="3335" width="6.140625" style="2" customWidth="1"/>
    <col min="3336" max="3339" width="14.42578125" style="2" customWidth="1"/>
    <col min="3340" max="3341" width="15.140625" style="2" customWidth="1"/>
    <col min="3342" max="3343" width="11.42578125" style="2"/>
    <col min="3344" max="3344" width="24.85546875" style="2" customWidth="1"/>
    <col min="3345" max="3345" width="10.7109375" style="2" customWidth="1"/>
    <col min="3346" max="3584" width="11.42578125" style="2"/>
    <col min="3585" max="3585" width="59.7109375" style="2" customWidth="1"/>
    <col min="3586" max="3586" width="10.7109375" style="2" customWidth="1"/>
    <col min="3587" max="3588" width="11.7109375" style="2" customWidth="1"/>
    <col min="3589" max="3590" width="10.7109375" style="2" customWidth="1"/>
    <col min="3591" max="3591" width="6.140625" style="2" customWidth="1"/>
    <col min="3592" max="3595" width="14.42578125" style="2" customWidth="1"/>
    <col min="3596" max="3597" width="15.140625" style="2" customWidth="1"/>
    <col min="3598" max="3599" width="11.42578125" style="2"/>
    <col min="3600" max="3600" width="24.85546875" style="2" customWidth="1"/>
    <col min="3601" max="3601" width="10.7109375" style="2" customWidth="1"/>
    <col min="3602" max="3840" width="11.42578125" style="2"/>
    <col min="3841" max="3841" width="59.7109375" style="2" customWidth="1"/>
    <col min="3842" max="3842" width="10.7109375" style="2" customWidth="1"/>
    <col min="3843" max="3844" width="11.7109375" style="2" customWidth="1"/>
    <col min="3845" max="3846" width="10.7109375" style="2" customWidth="1"/>
    <col min="3847" max="3847" width="6.140625" style="2" customWidth="1"/>
    <col min="3848" max="3851" width="14.42578125" style="2" customWidth="1"/>
    <col min="3852" max="3853" width="15.140625" style="2" customWidth="1"/>
    <col min="3854" max="3855" width="11.42578125" style="2"/>
    <col min="3856" max="3856" width="24.85546875" style="2" customWidth="1"/>
    <col min="3857" max="3857" width="10.7109375" style="2" customWidth="1"/>
    <col min="3858" max="4096" width="11.42578125" style="2"/>
    <col min="4097" max="4097" width="59.7109375" style="2" customWidth="1"/>
    <col min="4098" max="4098" width="10.7109375" style="2" customWidth="1"/>
    <col min="4099" max="4100" width="11.7109375" style="2" customWidth="1"/>
    <col min="4101" max="4102" width="10.7109375" style="2" customWidth="1"/>
    <col min="4103" max="4103" width="6.140625" style="2" customWidth="1"/>
    <col min="4104" max="4107" width="14.42578125" style="2" customWidth="1"/>
    <col min="4108" max="4109" width="15.140625" style="2" customWidth="1"/>
    <col min="4110" max="4111" width="11.42578125" style="2"/>
    <col min="4112" max="4112" width="24.85546875" style="2" customWidth="1"/>
    <col min="4113" max="4113" width="10.7109375" style="2" customWidth="1"/>
    <col min="4114" max="4352" width="11.42578125" style="2"/>
    <col min="4353" max="4353" width="59.7109375" style="2" customWidth="1"/>
    <col min="4354" max="4354" width="10.7109375" style="2" customWidth="1"/>
    <col min="4355" max="4356" width="11.7109375" style="2" customWidth="1"/>
    <col min="4357" max="4358" width="10.7109375" style="2" customWidth="1"/>
    <col min="4359" max="4359" width="6.140625" style="2" customWidth="1"/>
    <col min="4360" max="4363" width="14.42578125" style="2" customWidth="1"/>
    <col min="4364" max="4365" width="15.140625" style="2" customWidth="1"/>
    <col min="4366" max="4367" width="11.42578125" style="2"/>
    <col min="4368" max="4368" width="24.85546875" style="2" customWidth="1"/>
    <col min="4369" max="4369" width="10.7109375" style="2" customWidth="1"/>
    <col min="4370" max="4608" width="11.42578125" style="2"/>
    <col min="4609" max="4609" width="59.7109375" style="2" customWidth="1"/>
    <col min="4610" max="4610" width="10.7109375" style="2" customWidth="1"/>
    <col min="4611" max="4612" width="11.7109375" style="2" customWidth="1"/>
    <col min="4613" max="4614" width="10.7109375" style="2" customWidth="1"/>
    <col min="4615" max="4615" width="6.140625" style="2" customWidth="1"/>
    <col min="4616" max="4619" width="14.42578125" style="2" customWidth="1"/>
    <col min="4620" max="4621" width="15.140625" style="2" customWidth="1"/>
    <col min="4622" max="4623" width="11.42578125" style="2"/>
    <col min="4624" max="4624" width="24.85546875" style="2" customWidth="1"/>
    <col min="4625" max="4625" width="10.7109375" style="2" customWidth="1"/>
    <col min="4626" max="4864" width="11.42578125" style="2"/>
    <col min="4865" max="4865" width="59.7109375" style="2" customWidth="1"/>
    <col min="4866" max="4866" width="10.7109375" style="2" customWidth="1"/>
    <col min="4867" max="4868" width="11.7109375" style="2" customWidth="1"/>
    <col min="4869" max="4870" width="10.7109375" style="2" customWidth="1"/>
    <col min="4871" max="4871" width="6.140625" style="2" customWidth="1"/>
    <col min="4872" max="4875" width="14.42578125" style="2" customWidth="1"/>
    <col min="4876" max="4877" width="15.140625" style="2" customWidth="1"/>
    <col min="4878" max="4879" width="11.42578125" style="2"/>
    <col min="4880" max="4880" width="24.85546875" style="2" customWidth="1"/>
    <col min="4881" max="4881" width="10.7109375" style="2" customWidth="1"/>
    <col min="4882" max="5120" width="11.42578125" style="2"/>
    <col min="5121" max="5121" width="59.7109375" style="2" customWidth="1"/>
    <col min="5122" max="5122" width="10.7109375" style="2" customWidth="1"/>
    <col min="5123" max="5124" width="11.7109375" style="2" customWidth="1"/>
    <col min="5125" max="5126" width="10.7109375" style="2" customWidth="1"/>
    <col min="5127" max="5127" width="6.140625" style="2" customWidth="1"/>
    <col min="5128" max="5131" width="14.42578125" style="2" customWidth="1"/>
    <col min="5132" max="5133" width="15.140625" style="2" customWidth="1"/>
    <col min="5134" max="5135" width="11.42578125" style="2"/>
    <col min="5136" max="5136" width="24.85546875" style="2" customWidth="1"/>
    <col min="5137" max="5137" width="10.7109375" style="2" customWidth="1"/>
    <col min="5138" max="5376" width="11.42578125" style="2"/>
    <col min="5377" max="5377" width="59.7109375" style="2" customWidth="1"/>
    <col min="5378" max="5378" width="10.7109375" style="2" customWidth="1"/>
    <col min="5379" max="5380" width="11.7109375" style="2" customWidth="1"/>
    <col min="5381" max="5382" width="10.7109375" style="2" customWidth="1"/>
    <col min="5383" max="5383" width="6.140625" style="2" customWidth="1"/>
    <col min="5384" max="5387" width="14.42578125" style="2" customWidth="1"/>
    <col min="5388" max="5389" width="15.140625" style="2" customWidth="1"/>
    <col min="5390" max="5391" width="11.42578125" style="2"/>
    <col min="5392" max="5392" width="24.85546875" style="2" customWidth="1"/>
    <col min="5393" max="5393" width="10.7109375" style="2" customWidth="1"/>
    <col min="5394" max="5632" width="11.42578125" style="2"/>
    <col min="5633" max="5633" width="59.7109375" style="2" customWidth="1"/>
    <col min="5634" max="5634" width="10.7109375" style="2" customWidth="1"/>
    <col min="5635" max="5636" width="11.7109375" style="2" customWidth="1"/>
    <col min="5637" max="5638" width="10.7109375" style="2" customWidth="1"/>
    <col min="5639" max="5639" width="6.140625" style="2" customWidth="1"/>
    <col min="5640" max="5643" width="14.42578125" style="2" customWidth="1"/>
    <col min="5644" max="5645" width="15.140625" style="2" customWidth="1"/>
    <col min="5646" max="5647" width="11.42578125" style="2"/>
    <col min="5648" max="5648" width="24.85546875" style="2" customWidth="1"/>
    <col min="5649" max="5649" width="10.7109375" style="2" customWidth="1"/>
    <col min="5650" max="5888" width="11.42578125" style="2"/>
    <col min="5889" max="5889" width="59.7109375" style="2" customWidth="1"/>
    <col min="5890" max="5890" width="10.7109375" style="2" customWidth="1"/>
    <col min="5891" max="5892" width="11.7109375" style="2" customWidth="1"/>
    <col min="5893" max="5894" width="10.7109375" style="2" customWidth="1"/>
    <col min="5895" max="5895" width="6.140625" style="2" customWidth="1"/>
    <col min="5896" max="5899" width="14.42578125" style="2" customWidth="1"/>
    <col min="5900" max="5901" width="15.140625" style="2" customWidth="1"/>
    <col min="5902" max="5903" width="11.42578125" style="2"/>
    <col min="5904" max="5904" width="24.85546875" style="2" customWidth="1"/>
    <col min="5905" max="5905" width="10.7109375" style="2" customWidth="1"/>
    <col min="5906" max="6144" width="11.42578125" style="2"/>
    <col min="6145" max="6145" width="59.7109375" style="2" customWidth="1"/>
    <col min="6146" max="6146" width="10.7109375" style="2" customWidth="1"/>
    <col min="6147" max="6148" width="11.7109375" style="2" customWidth="1"/>
    <col min="6149" max="6150" width="10.7109375" style="2" customWidth="1"/>
    <col min="6151" max="6151" width="6.140625" style="2" customWidth="1"/>
    <col min="6152" max="6155" width="14.42578125" style="2" customWidth="1"/>
    <col min="6156" max="6157" width="15.140625" style="2" customWidth="1"/>
    <col min="6158" max="6159" width="11.42578125" style="2"/>
    <col min="6160" max="6160" width="24.85546875" style="2" customWidth="1"/>
    <col min="6161" max="6161" width="10.7109375" style="2" customWidth="1"/>
    <col min="6162" max="6400" width="11.42578125" style="2"/>
    <col min="6401" max="6401" width="59.7109375" style="2" customWidth="1"/>
    <col min="6402" max="6402" width="10.7109375" style="2" customWidth="1"/>
    <col min="6403" max="6404" width="11.7109375" style="2" customWidth="1"/>
    <col min="6405" max="6406" width="10.7109375" style="2" customWidth="1"/>
    <col min="6407" max="6407" width="6.140625" style="2" customWidth="1"/>
    <col min="6408" max="6411" width="14.42578125" style="2" customWidth="1"/>
    <col min="6412" max="6413" width="15.140625" style="2" customWidth="1"/>
    <col min="6414" max="6415" width="11.42578125" style="2"/>
    <col min="6416" max="6416" width="24.85546875" style="2" customWidth="1"/>
    <col min="6417" max="6417" width="10.7109375" style="2" customWidth="1"/>
    <col min="6418" max="6656" width="11.42578125" style="2"/>
    <col min="6657" max="6657" width="59.7109375" style="2" customWidth="1"/>
    <col min="6658" max="6658" width="10.7109375" style="2" customWidth="1"/>
    <col min="6659" max="6660" width="11.7109375" style="2" customWidth="1"/>
    <col min="6661" max="6662" width="10.7109375" style="2" customWidth="1"/>
    <col min="6663" max="6663" width="6.140625" style="2" customWidth="1"/>
    <col min="6664" max="6667" width="14.42578125" style="2" customWidth="1"/>
    <col min="6668" max="6669" width="15.140625" style="2" customWidth="1"/>
    <col min="6670" max="6671" width="11.42578125" style="2"/>
    <col min="6672" max="6672" width="24.85546875" style="2" customWidth="1"/>
    <col min="6673" max="6673" width="10.7109375" style="2" customWidth="1"/>
    <col min="6674" max="6912" width="11.42578125" style="2"/>
    <col min="6913" max="6913" width="59.7109375" style="2" customWidth="1"/>
    <col min="6914" max="6914" width="10.7109375" style="2" customWidth="1"/>
    <col min="6915" max="6916" width="11.7109375" style="2" customWidth="1"/>
    <col min="6917" max="6918" width="10.7109375" style="2" customWidth="1"/>
    <col min="6919" max="6919" width="6.140625" style="2" customWidth="1"/>
    <col min="6920" max="6923" width="14.42578125" style="2" customWidth="1"/>
    <col min="6924" max="6925" width="15.140625" style="2" customWidth="1"/>
    <col min="6926" max="6927" width="11.42578125" style="2"/>
    <col min="6928" max="6928" width="24.85546875" style="2" customWidth="1"/>
    <col min="6929" max="6929" width="10.7109375" style="2" customWidth="1"/>
    <col min="6930" max="7168" width="11.42578125" style="2"/>
    <col min="7169" max="7169" width="59.7109375" style="2" customWidth="1"/>
    <col min="7170" max="7170" width="10.7109375" style="2" customWidth="1"/>
    <col min="7171" max="7172" width="11.7109375" style="2" customWidth="1"/>
    <col min="7173" max="7174" width="10.7109375" style="2" customWidth="1"/>
    <col min="7175" max="7175" width="6.140625" style="2" customWidth="1"/>
    <col min="7176" max="7179" width="14.42578125" style="2" customWidth="1"/>
    <col min="7180" max="7181" width="15.140625" style="2" customWidth="1"/>
    <col min="7182" max="7183" width="11.42578125" style="2"/>
    <col min="7184" max="7184" width="24.85546875" style="2" customWidth="1"/>
    <col min="7185" max="7185" width="10.7109375" style="2" customWidth="1"/>
    <col min="7186" max="7424" width="11.42578125" style="2"/>
    <col min="7425" max="7425" width="59.7109375" style="2" customWidth="1"/>
    <col min="7426" max="7426" width="10.7109375" style="2" customWidth="1"/>
    <col min="7427" max="7428" width="11.7109375" style="2" customWidth="1"/>
    <col min="7429" max="7430" width="10.7109375" style="2" customWidth="1"/>
    <col min="7431" max="7431" width="6.140625" style="2" customWidth="1"/>
    <col min="7432" max="7435" width="14.42578125" style="2" customWidth="1"/>
    <col min="7436" max="7437" width="15.140625" style="2" customWidth="1"/>
    <col min="7438" max="7439" width="11.42578125" style="2"/>
    <col min="7440" max="7440" width="24.85546875" style="2" customWidth="1"/>
    <col min="7441" max="7441" width="10.7109375" style="2" customWidth="1"/>
    <col min="7442" max="7680" width="11.42578125" style="2"/>
    <col min="7681" max="7681" width="59.7109375" style="2" customWidth="1"/>
    <col min="7682" max="7682" width="10.7109375" style="2" customWidth="1"/>
    <col min="7683" max="7684" width="11.7109375" style="2" customWidth="1"/>
    <col min="7685" max="7686" width="10.7109375" style="2" customWidth="1"/>
    <col min="7687" max="7687" width="6.140625" style="2" customWidth="1"/>
    <col min="7688" max="7691" width="14.42578125" style="2" customWidth="1"/>
    <col min="7692" max="7693" width="15.140625" style="2" customWidth="1"/>
    <col min="7694" max="7695" width="11.42578125" style="2"/>
    <col min="7696" max="7696" width="24.85546875" style="2" customWidth="1"/>
    <col min="7697" max="7697" width="10.7109375" style="2" customWidth="1"/>
    <col min="7698" max="7936" width="11.42578125" style="2"/>
    <col min="7937" max="7937" width="59.7109375" style="2" customWidth="1"/>
    <col min="7938" max="7938" width="10.7109375" style="2" customWidth="1"/>
    <col min="7939" max="7940" width="11.7109375" style="2" customWidth="1"/>
    <col min="7941" max="7942" width="10.7109375" style="2" customWidth="1"/>
    <col min="7943" max="7943" width="6.140625" style="2" customWidth="1"/>
    <col min="7944" max="7947" width="14.42578125" style="2" customWidth="1"/>
    <col min="7948" max="7949" width="15.140625" style="2" customWidth="1"/>
    <col min="7950" max="7951" width="11.42578125" style="2"/>
    <col min="7952" max="7952" width="24.85546875" style="2" customWidth="1"/>
    <col min="7953" max="7953" width="10.7109375" style="2" customWidth="1"/>
    <col min="7954" max="8192" width="11.42578125" style="2"/>
    <col min="8193" max="8193" width="59.7109375" style="2" customWidth="1"/>
    <col min="8194" max="8194" width="10.7109375" style="2" customWidth="1"/>
    <col min="8195" max="8196" width="11.7109375" style="2" customWidth="1"/>
    <col min="8197" max="8198" width="10.7109375" style="2" customWidth="1"/>
    <col min="8199" max="8199" width="6.140625" style="2" customWidth="1"/>
    <col min="8200" max="8203" width="14.42578125" style="2" customWidth="1"/>
    <col min="8204" max="8205" width="15.140625" style="2" customWidth="1"/>
    <col min="8206" max="8207" width="11.42578125" style="2"/>
    <col min="8208" max="8208" width="24.85546875" style="2" customWidth="1"/>
    <col min="8209" max="8209" width="10.7109375" style="2" customWidth="1"/>
    <col min="8210" max="8448" width="11.42578125" style="2"/>
    <col min="8449" max="8449" width="59.7109375" style="2" customWidth="1"/>
    <col min="8450" max="8450" width="10.7109375" style="2" customWidth="1"/>
    <col min="8451" max="8452" width="11.7109375" style="2" customWidth="1"/>
    <col min="8453" max="8454" width="10.7109375" style="2" customWidth="1"/>
    <col min="8455" max="8455" width="6.140625" style="2" customWidth="1"/>
    <col min="8456" max="8459" width="14.42578125" style="2" customWidth="1"/>
    <col min="8460" max="8461" width="15.140625" style="2" customWidth="1"/>
    <col min="8462" max="8463" width="11.42578125" style="2"/>
    <col min="8464" max="8464" width="24.85546875" style="2" customWidth="1"/>
    <col min="8465" max="8465" width="10.7109375" style="2" customWidth="1"/>
    <col min="8466" max="8704" width="11.42578125" style="2"/>
    <col min="8705" max="8705" width="59.7109375" style="2" customWidth="1"/>
    <col min="8706" max="8706" width="10.7109375" style="2" customWidth="1"/>
    <col min="8707" max="8708" width="11.7109375" style="2" customWidth="1"/>
    <col min="8709" max="8710" width="10.7109375" style="2" customWidth="1"/>
    <col min="8711" max="8711" width="6.140625" style="2" customWidth="1"/>
    <col min="8712" max="8715" width="14.42578125" style="2" customWidth="1"/>
    <col min="8716" max="8717" width="15.140625" style="2" customWidth="1"/>
    <col min="8718" max="8719" width="11.42578125" style="2"/>
    <col min="8720" max="8720" width="24.85546875" style="2" customWidth="1"/>
    <col min="8721" max="8721" width="10.7109375" style="2" customWidth="1"/>
    <col min="8722" max="8960" width="11.42578125" style="2"/>
    <col min="8961" max="8961" width="59.7109375" style="2" customWidth="1"/>
    <col min="8962" max="8962" width="10.7109375" style="2" customWidth="1"/>
    <col min="8963" max="8964" width="11.7109375" style="2" customWidth="1"/>
    <col min="8965" max="8966" width="10.7109375" style="2" customWidth="1"/>
    <col min="8967" max="8967" width="6.140625" style="2" customWidth="1"/>
    <col min="8968" max="8971" width="14.42578125" style="2" customWidth="1"/>
    <col min="8972" max="8973" width="15.140625" style="2" customWidth="1"/>
    <col min="8974" max="8975" width="11.42578125" style="2"/>
    <col min="8976" max="8976" width="24.85546875" style="2" customWidth="1"/>
    <col min="8977" max="8977" width="10.7109375" style="2" customWidth="1"/>
    <col min="8978" max="9216" width="11.42578125" style="2"/>
    <col min="9217" max="9217" width="59.7109375" style="2" customWidth="1"/>
    <col min="9218" max="9218" width="10.7109375" style="2" customWidth="1"/>
    <col min="9219" max="9220" width="11.7109375" style="2" customWidth="1"/>
    <col min="9221" max="9222" width="10.7109375" style="2" customWidth="1"/>
    <col min="9223" max="9223" width="6.140625" style="2" customWidth="1"/>
    <col min="9224" max="9227" width="14.42578125" style="2" customWidth="1"/>
    <col min="9228" max="9229" width="15.140625" style="2" customWidth="1"/>
    <col min="9230" max="9231" width="11.42578125" style="2"/>
    <col min="9232" max="9232" width="24.85546875" style="2" customWidth="1"/>
    <col min="9233" max="9233" width="10.7109375" style="2" customWidth="1"/>
    <col min="9234" max="9472" width="11.42578125" style="2"/>
    <col min="9473" max="9473" width="59.7109375" style="2" customWidth="1"/>
    <col min="9474" max="9474" width="10.7109375" style="2" customWidth="1"/>
    <col min="9475" max="9476" width="11.7109375" style="2" customWidth="1"/>
    <col min="9477" max="9478" width="10.7109375" style="2" customWidth="1"/>
    <col min="9479" max="9479" width="6.140625" style="2" customWidth="1"/>
    <col min="9480" max="9483" width="14.42578125" style="2" customWidth="1"/>
    <col min="9484" max="9485" width="15.140625" style="2" customWidth="1"/>
    <col min="9486" max="9487" width="11.42578125" style="2"/>
    <col min="9488" max="9488" width="24.85546875" style="2" customWidth="1"/>
    <col min="9489" max="9489" width="10.7109375" style="2" customWidth="1"/>
    <col min="9490" max="9728" width="11.42578125" style="2"/>
    <col min="9729" max="9729" width="59.7109375" style="2" customWidth="1"/>
    <col min="9730" max="9730" width="10.7109375" style="2" customWidth="1"/>
    <col min="9731" max="9732" width="11.7109375" style="2" customWidth="1"/>
    <col min="9733" max="9734" width="10.7109375" style="2" customWidth="1"/>
    <col min="9735" max="9735" width="6.140625" style="2" customWidth="1"/>
    <col min="9736" max="9739" width="14.42578125" style="2" customWidth="1"/>
    <col min="9740" max="9741" width="15.140625" style="2" customWidth="1"/>
    <col min="9742" max="9743" width="11.42578125" style="2"/>
    <col min="9744" max="9744" width="24.85546875" style="2" customWidth="1"/>
    <col min="9745" max="9745" width="10.7109375" style="2" customWidth="1"/>
    <col min="9746" max="9984" width="11.42578125" style="2"/>
    <col min="9985" max="9985" width="59.7109375" style="2" customWidth="1"/>
    <col min="9986" max="9986" width="10.7109375" style="2" customWidth="1"/>
    <col min="9987" max="9988" width="11.7109375" style="2" customWidth="1"/>
    <col min="9989" max="9990" width="10.7109375" style="2" customWidth="1"/>
    <col min="9991" max="9991" width="6.140625" style="2" customWidth="1"/>
    <col min="9992" max="9995" width="14.42578125" style="2" customWidth="1"/>
    <col min="9996" max="9997" width="15.140625" style="2" customWidth="1"/>
    <col min="9998" max="9999" width="11.42578125" style="2"/>
    <col min="10000" max="10000" width="24.85546875" style="2" customWidth="1"/>
    <col min="10001" max="10001" width="10.7109375" style="2" customWidth="1"/>
    <col min="10002" max="10240" width="11.42578125" style="2"/>
    <col min="10241" max="10241" width="59.7109375" style="2" customWidth="1"/>
    <col min="10242" max="10242" width="10.7109375" style="2" customWidth="1"/>
    <col min="10243" max="10244" width="11.7109375" style="2" customWidth="1"/>
    <col min="10245" max="10246" width="10.7109375" style="2" customWidth="1"/>
    <col min="10247" max="10247" width="6.140625" style="2" customWidth="1"/>
    <col min="10248" max="10251" width="14.42578125" style="2" customWidth="1"/>
    <col min="10252" max="10253" width="15.140625" style="2" customWidth="1"/>
    <col min="10254" max="10255" width="11.42578125" style="2"/>
    <col min="10256" max="10256" width="24.85546875" style="2" customWidth="1"/>
    <col min="10257" max="10257" width="10.7109375" style="2" customWidth="1"/>
    <col min="10258" max="10496" width="11.42578125" style="2"/>
    <col min="10497" max="10497" width="59.7109375" style="2" customWidth="1"/>
    <col min="10498" max="10498" width="10.7109375" style="2" customWidth="1"/>
    <col min="10499" max="10500" width="11.7109375" style="2" customWidth="1"/>
    <col min="10501" max="10502" width="10.7109375" style="2" customWidth="1"/>
    <col min="10503" max="10503" width="6.140625" style="2" customWidth="1"/>
    <col min="10504" max="10507" width="14.42578125" style="2" customWidth="1"/>
    <col min="10508" max="10509" width="15.140625" style="2" customWidth="1"/>
    <col min="10510" max="10511" width="11.42578125" style="2"/>
    <col min="10512" max="10512" width="24.85546875" style="2" customWidth="1"/>
    <col min="10513" max="10513" width="10.7109375" style="2" customWidth="1"/>
    <col min="10514" max="10752" width="11.42578125" style="2"/>
    <col min="10753" max="10753" width="59.7109375" style="2" customWidth="1"/>
    <col min="10754" max="10754" width="10.7109375" style="2" customWidth="1"/>
    <col min="10755" max="10756" width="11.7109375" style="2" customWidth="1"/>
    <col min="10757" max="10758" width="10.7109375" style="2" customWidth="1"/>
    <col min="10759" max="10759" width="6.140625" style="2" customWidth="1"/>
    <col min="10760" max="10763" width="14.42578125" style="2" customWidth="1"/>
    <col min="10764" max="10765" width="15.140625" style="2" customWidth="1"/>
    <col min="10766" max="10767" width="11.42578125" style="2"/>
    <col min="10768" max="10768" width="24.85546875" style="2" customWidth="1"/>
    <col min="10769" max="10769" width="10.7109375" style="2" customWidth="1"/>
    <col min="10770" max="11008" width="11.42578125" style="2"/>
    <col min="11009" max="11009" width="59.7109375" style="2" customWidth="1"/>
    <col min="11010" max="11010" width="10.7109375" style="2" customWidth="1"/>
    <col min="11011" max="11012" width="11.7109375" style="2" customWidth="1"/>
    <col min="11013" max="11014" width="10.7109375" style="2" customWidth="1"/>
    <col min="11015" max="11015" width="6.140625" style="2" customWidth="1"/>
    <col min="11016" max="11019" width="14.42578125" style="2" customWidth="1"/>
    <col min="11020" max="11021" width="15.140625" style="2" customWidth="1"/>
    <col min="11022" max="11023" width="11.42578125" style="2"/>
    <col min="11024" max="11024" width="24.85546875" style="2" customWidth="1"/>
    <col min="11025" max="11025" width="10.7109375" style="2" customWidth="1"/>
    <col min="11026" max="11264" width="11.42578125" style="2"/>
    <col min="11265" max="11265" width="59.7109375" style="2" customWidth="1"/>
    <col min="11266" max="11266" width="10.7109375" style="2" customWidth="1"/>
    <col min="11267" max="11268" width="11.7109375" style="2" customWidth="1"/>
    <col min="11269" max="11270" width="10.7109375" style="2" customWidth="1"/>
    <col min="11271" max="11271" width="6.140625" style="2" customWidth="1"/>
    <col min="11272" max="11275" width="14.42578125" style="2" customWidth="1"/>
    <col min="11276" max="11277" width="15.140625" style="2" customWidth="1"/>
    <col min="11278" max="11279" width="11.42578125" style="2"/>
    <col min="11280" max="11280" width="24.85546875" style="2" customWidth="1"/>
    <col min="11281" max="11281" width="10.7109375" style="2" customWidth="1"/>
    <col min="11282" max="11520" width="11.42578125" style="2"/>
    <col min="11521" max="11521" width="59.7109375" style="2" customWidth="1"/>
    <col min="11522" max="11522" width="10.7109375" style="2" customWidth="1"/>
    <col min="11523" max="11524" width="11.7109375" style="2" customWidth="1"/>
    <col min="11525" max="11526" width="10.7109375" style="2" customWidth="1"/>
    <col min="11527" max="11527" width="6.140625" style="2" customWidth="1"/>
    <col min="11528" max="11531" width="14.42578125" style="2" customWidth="1"/>
    <col min="11532" max="11533" width="15.140625" style="2" customWidth="1"/>
    <col min="11534" max="11535" width="11.42578125" style="2"/>
    <col min="11536" max="11536" width="24.85546875" style="2" customWidth="1"/>
    <col min="11537" max="11537" width="10.7109375" style="2" customWidth="1"/>
    <col min="11538" max="11776" width="11.42578125" style="2"/>
    <col min="11777" max="11777" width="59.7109375" style="2" customWidth="1"/>
    <col min="11778" max="11778" width="10.7109375" style="2" customWidth="1"/>
    <col min="11779" max="11780" width="11.7109375" style="2" customWidth="1"/>
    <col min="11781" max="11782" width="10.7109375" style="2" customWidth="1"/>
    <col min="11783" max="11783" width="6.140625" style="2" customWidth="1"/>
    <col min="11784" max="11787" width="14.42578125" style="2" customWidth="1"/>
    <col min="11788" max="11789" width="15.140625" style="2" customWidth="1"/>
    <col min="11790" max="11791" width="11.42578125" style="2"/>
    <col min="11792" max="11792" width="24.85546875" style="2" customWidth="1"/>
    <col min="11793" max="11793" width="10.7109375" style="2" customWidth="1"/>
    <col min="11794" max="12032" width="11.42578125" style="2"/>
    <col min="12033" max="12033" width="59.7109375" style="2" customWidth="1"/>
    <col min="12034" max="12034" width="10.7109375" style="2" customWidth="1"/>
    <col min="12035" max="12036" width="11.7109375" style="2" customWidth="1"/>
    <col min="12037" max="12038" width="10.7109375" style="2" customWidth="1"/>
    <col min="12039" max="12039" width="6.140625" style="2" customWidth="1"/>
    <col min="12040" max="12043" width="14.42578125" style="2" customWidth="1"/>
    <col min="12044" max="12045" width="15.140625" style="2" customWidth="1"/>
    <col min="12046" max="12047" width="11.42578125" style="2"/>
    <col min="12048" max="12048" width="24.85546875" style="2" customWidth="1"/>
    <col min="12049" max="12049" width="10.7109375" style="2" customWidth="1"/>
    <col min="12050" max="12288" width="11.42578125" style="2"/>
    <col min="12289" max="12289" width="59.7109375" style="2" customWidth="1"/>
    <col min="12290" max="12290" width="10.7109375" style="2" customWidth="1"/>
    <col min="12291" max="12292" width="11.7109375" style="2" customWidth="1"/>
    <col min="12293" max="12294" width="10.7109375" style="2" customWidth="1"/>
    <col min="12295" max="12295" width="6.140625" style="2" customWidth="1"/>
    <col min="12296" max="12299" width="14.42578125" style="2" customWidth="1"/>
    <col min="12300" max="12301" width="15.140625" style="2" customWidth="1"/>
    <col min="12302" max="12303" width="11.42578125" style="2"/>
    <col min="12304" max="12304" width="24.85546875" style="2" customWidth="1"/>
    <col min="12305" max="12305" width="10.7109375" style="2" customWidth="1"/>
    <col min="12306" max="12544" width="11.42578125" style="2"/>
    <col min="12545" max="12545" width="59.7109375" style="2" customWidth="1"/>
    <col min="12546" max="12546" width="10.7109375" style="2" customWidth="1"/>
    <col min="12547" max="12548" width="11.7109375" style="2" customWidth="1"/>
    <col min="12549" max="12550" width="10.7109375" style="2" customWidth="1"/>
    <col min="12551" max="12551" width="6.140625" style="2" customWidth="1"/>
    <col min="12552" max="12555" width="14.42578125" style="2" customWidth="1"/>
    <col min="12556" max="12557" width="15.140625" style="2" customWidth="1"/>
    <col min="12558" max="12559" width="11.42578125" style="2"/>
    <col min="12560" max="12560" width="24.85546875" style="2" customWidth="1"/>
    <col min="12561" max="12561" width="10.7109375" style="2" customWidth="1"/>
    <col min="12562" max="12800" width="11.42578125" style="2"/>
    <col min="12801" max="12801" width="59.7109375" style="2" customWidth="1"/>
    <col min="12802" max="12802" width="10.7109375" style="2" customWidth="1"/>
    <col min="12803" max="12804" width="11.7109375" style="2" customWidth="1"/>
    <col min="12805" max="12806" width="10.7109375" style="2" customWidth="1"/>
    <col min="12807" max="12807" width="6.140625" style="2" customWidth="1"/>
    <col min="12808" max="12811" width="14.42578125" style="2" customWidth="1"/>
    <col min="12812" max="12813" width="15.140625" style="2" customWidth="1"/>
    <col min="12814" max="12815" width="11.42578125" style="2"/>
    <col min="12816" max="12816" width="24.85546875" style="2" customWidth="1"/>
    <col min="12817" max="12817" width="10.7109375" style="2" customWidth="1"/>
    <col min="12818" max="13056" width="11.42578125" style="2"/>
    <col min="13057" max="13057" width="59.7109375" style="2" customWidth="1"/>
    <col min="13058" max="13058" width="10.7109375" style="2" customWidth="1"/>
    <col min="13059" max="13060" width="11.7109375" style="2" customWidth="1"/>
    <col min="13061" max="13062" width="10.7109375" style="2" customWidth="1"/>
    <col min="13063" max="13063" width="6.140625" style="2" customWidth="1"/>
    <col min="13064" max="13067" width="14.42578125" style="2" customWidth="1"/>
    <col min="13068" max="13069" width="15.140625" style="2" customWidth="1"/>
    <col min="13070" max="13071" width="11.42578125" style="2"/>
    <col min="13072" max="13072" width="24.85546875" style="2" customWidth="1"/>
    <col min="13073" max="13073" width="10.7109375" style="2" customWidth="1"/>
    <col min="13074" max="13312" width="11.42578125" style="2"/>
    <col min="13313" max="13313" width="59.7109375" style="2" customWidth="1"/>
    <col min="13314" max="13314" width="10.7109375" style="2" customWidth="1"/>
    <col min="13315" max="13316" width="11.7109375" style="2" customWidth="1"/>
    <col min="13317" max="13318" width="10.7109375" style="2" customWidth="1"/>
    <col min="13319" max="13319" width="6.140625" style="2" customWidth="1"/>
    <col min="13320" max="13323" width="14.42578125" style="2" customWidth="1"/>
    <col min="13324" max="13325" width="15.140625" style="2" customWidth="1"/>
    <col min="13326" max="13327" width="11.42578125" style="2"/>
    <col min="13328" max="13328" width="24.85546875" style="2" customWidth="1"/>
    <col min="13329" max="13329" width="10.7109375" style="2" customWidth="1"/>
    <col min="13330" max="13568" width="11.42578125" style="2"/>
    <col min="13569" max="13569" width="59.7109375" style="2" customWidth="1"/>
    <col min="13570" max="13570" width="10.7109375" style="2" customWidth="1"/>
    <col min="13571" max="13572" width="11.7109375" style="2" customWidth="1"/>
    <col min="13573" max="13574" width="10.7109375" style="2" customWidth="1"/>
    <col min="13575" max="13575" width="6.140625" style="2" customWidth="1"/>
    <col min="13576" max="13579" width="14.42578125" style="2" customWidth="1"/>
    <col min="13580" max="13581" width="15.140625" style="2" customWidth="1"/>
    <col min="13582" max="13583" width="11.42578125" style="2"/>
    <col min="13584" max="13584" width="24.85546875" style="2" customWidth="1"/>
    <col min="13585" max="13585" width="10.7109375" style="2" customWidth="1"/>
    <col min="13586" max="13824" width="11.42578125" style="2"/>
    <col min="13825" max="13825" width="59.7109375" style="2" customWidth="1"/>
    <col min="13826" max="13826" width="10.7109375" style="2" customWidth="1"/>
    <col min="13827" max="13828" width="11.7109375" style="2" customWidth="1"/>
    <col min="13829" max="13830" width="10.7109375" style="2" customWidth="1"/>
    <col min="13831" max="13831" width="6.140625" style="2" customWidth="1"/>
    <col min="13832" max="13835" width="14.42578125" style="2" customWidth="1"/>
    <col min="13836" max="13837" width="15.140625" style="2" customWidth="1"/>
    <col min="13838" max="13839" width="11.42578125" style="2"/>
    <col min="13840" max="13840" width="24.85546875" style="2" customWidth="1"/>
    <col min="13841" max="13841" width="10.7109375" style="2" customWidth="1"/>
    <col min="13842" max="14080" width="11.42578125" style="2"/>
    <col min="14081" max="14081" width="59.7109375" style="2" customWidth="1"/>
    <col min="14082" max="14082" width="10.7109375" style="2" customWidth="1"/>
    <col min="14083" max="14084" width="11.7109375" style="2" customWidth="1"/>
    <col min="14085" max="14086" width="10.7109375" style="2" customWidth="1"/>
    <col min="14087" max="14087" width="6.140625" style="2" customWidth="1"/>
    <col min="14088" max="14091" width="14.42578125" style="2" customWidth="1"/>
    <col min="14092" max="14093" width="15.140625" style="2" customWidth="1"/>
    <col min="14094" max="14095" width="11.42578125" style="2"/>
    <col min="14096" max="14096" width="24.85546875" style="2" customWidth="1"/>
    <col min="14097" max="14097" width="10.7109375" style="2" customWidth="1"/>
    <col min="14098" max="14336" width="11.42578125" style="2"/>
    <col min="14337" max="14337" width="59.7109375" style="2" customWidth="1"/>
    <col min="14338" max="14338" width="10.7109375" style="2" customWidth="1"/>
    <col min="14339" max="14340" width="11.7109375" style="2" customWidth="1"/>
    <col min="14341" max="14342" width="10.7109375" style="2" customWidth="1"/>
    <col min="14343" max="14343" width="6.140625" style="2" customWidth="1"/>
    <col min="14344" max="14347" width="14.42578125" style="2" customWidth="1"/>
    <col min="14348" max="14349" width="15.140625" style="2" customWidth="1"/>
    <col min="14350" max="14351" width="11.42578125" style="2"/>
    <col min="14352" max="14352" width="24.85546875" style="2" customWidth="1"/>
    <col min="14353" max="14353" width="10.7109375" style="2" customWidth="1"/>
    <col min="14354" max="14592" width="11.42578125" style="2"/>
    <col min="14593" max="14593" width="59.7109375" style="2" customWidth="1"/>
    <col min="14594" max="14594" width="10.7109375" style="2" customWidth="1"/>
    <col min="14595" max="14596" width="11.7109375" style="2" customWidth="1"/>
    <col min="14597" max="14598" width="10.7109375" style="2" customWidth="1"/>
    <col min="14599" max="14599" width="6.140625" style="2" customWidth="1"/>
    <col min="14600" max="14603" width="14.42578125" style="2" customWidth="1"/>
    <col min="14604" max="14605" width="15.140625" style="2" customWidth="1"/>
    <col min="14606" max="14607" width="11.42578125" style="2"/>
    <col min="14608" max="14608" width="24.85546875" style="2" customWidth="1"/>
    <col min="14609" max="14609" width="10.7109375" style="2" customWidth="1"/>
    <col min="14610" max="14848" width="11.42578125" style="2"/>
    <col min="14849" max="14849" width="59.7109375" style="2" customWidth="1"/>
    <col min="14850" max="14850" width="10.7109375" style="2" customWidth="1"/>
    <col min="14851" max="14852" width="11.7109375" style="2" customWidth="1"/>
    <col min="14853" max="14854" width="10.7109375" style="2" customWidth="1"/>
    <col min="14855" max="14855" width="6.140625" style="2" customWidth="1"/>
    <col min="14856" max="14859" width="14.42578125" style="2" customWidth="1"/>
    <col min="14860" max="14861" width="15.140625" style="2" customWidth="1"/>
    <col min="14862" max="14863" width="11.42578125" style="2"/>
    <col min="14864" max="14864" width="24.85546875" style="2" customWidth="1"/>
    <col min="14865" max="14865" width="10.7109375" style="2" customWidth="1"/>
    <col min="14866" max="15104" width="11.42578125" style="2"/>
    <col min="15105" max="15105" width="59.7109375" style="2" customWidth="1"/>
    <col min="15106" max="15106" width="10.7109375" style="2" customWidth="1"/>
    <col min="15107" max="15108" width="11.7109375" style="2" customWidth="1"/>
    <col min="15109" max="15110" width="10.7109375" style="2" customWidth="1"/>
    <col min="15111" max="15111" width="6.140625" style="2" customWidth="1"/>
    <col min="15112" max="15115" width="14.42578125" style="2" customWidth="1"/>
    <col min="15116" max="15117" width="15.140625" style="2" customWidth="1"/>
    <col min="15118" max="15119" width="11.42578125" style="2"/>
    <col min="15120" max="15120" width="24.85546875" style="2" customWidth="1"/>
    <col min="15121" max="15121" width="10.7109375" style="2" customWidth="1"/>
    <col min="15122" max="15360" width="11.42578125" style="2"/>
    <col min="15361" max="15361" width="59.7109375" style="2" customWidth="1"/>
    <col min="15362" max="15362" width="10.7109375" style="2" customWidth="1"/>
    <col min="15363" max="15364" width="11.7109375" style="2" customWidth="1"/>
    <col min="15365" max="15366" width="10.7109375" style="2" customWidth="1"/>
    <col min="15367" max="15367" width="6.140625" style="2" customWidth="1"/>
    <col min="15368" max="15371" width="14.42578125" style="2" customWidth="1"/>
    <col min="15372" max="15373" width="15.140625" style="2" customWidth="1"/>
    <col min="15374" max="15375" width="11.42578125" style="2"/>
    <col min="15376" max="15376" width="24.85546875" style="2" customWidth="1"/>
    <col min="15377" max="15377" width="10.7109375" style="2" customWidth="1"/>
    <col min="15378" max="15616" width="11.42578125" style="2"/>
    <col min="15617" max="15617" width="59.7109375" style="2" customWidth="1"/>
    <col min="15618" max="15618" width="10.7109375" style="2" customWidth="1"/>
    <col min="15619" max="15620" width="11.7109375" style="2" customWidth="1"/>
    <col min="15621" max="15622" width="10.7109375" style="2" customWidth="1"/>
    <col min="15623" max="15623" width="6.140625" style="2" customWidth="1"/>
    <col min="15624" max="15627" width="14.42578125" style="2" customWidth="1"/>
    <col min="15628" max="15629" width="15.140625" style="2" customWidth="1"/>
    <col min="15630" max="15631" width="11.42578125" style="2"/>
    <col min="15632" max="15632" width="24.85546875" style="2" customWidth="1"/>
    <col min="15633" max="15633" width="10.7109375" style="2" customWidth="1"/>
    <col min="15634" max="15872" width="11.42578125" style="2"/>
    <col min="15873" max="15873" width="59.7109375" style="2" customWidth="1"/>
    <col min="15874" max="15874" width="10.7109375" style="2" customWidth="1"/>
    <col min="15875" max="15876" width="11.7109375" style="2" customWidth="1"/>
    <col min="15877" max="15878" width="10.7109375" style="2" customWidth="1"/>
    <col min="15879" max="15879" width="6.140625" style="2" customWidth="1"/>
    <col min="15880" max="15883" width="14.42578125" style="2" customWidth="1"/>
    <col min="15884" max="15885" width="15.140625" style="2" customWidth="1"/>
    <col min="15886" max="15887" width="11.42578125" style="2"/>
    <col min="15888" max="15888" width="24.85546875" style="2" customWidth="1"/>
    <col min="15889" max="15889" width="10.7109375" style="2" customWidth="1"/>
    <col min="15890" max="16128" width="11.42578125" style="2"/>
    <col min="16129" max="16129" width="59.7109375" style="2" customWidth="1"/>
    <col min="16130" max="16130" width="10.7109375" style="2" customWidth="1"/>
    <col min="16131" max="16132" width="11.7109375" style="2" customWidth="1"/>
    <col min="16133" max="16134" width="10.7109375" style="2" customWidth="1"/>
    <col min="16135" max="16135" width="6.140625" style="2" customWidth="1"/>
    <col min="16136" max="16139" width="14.42578125" style="2" customWidth="1"/>
    <col min="16140" max="16141" width="15.140625" style="2" customWidth="1"/>
    <col min="16142" max="16143" width="11.42578125" style="2"/>
    <col min="16144" max="16144" width="24.85546875" style="2" customWidth="1"/>
    <col min="16145" max="16145" width="10.7109375" style="2" customWidth="1"/>
    <col min="16146" max="16384" width="11.42578125" style="2"/>
  </cols>
  <sheetData>
    <row r="1" spans="1:19" ht="26.25" x14ac:dyDescent="0.4">
      <c r="A1" s="75" t="s">
        <v>19</v>
      </c>
      <c r="B1" s="927"/>
    </row>
    <row r="2" spans="1:19" s="27" customFormat="1" ht="26.25" x14ac:dyDescent="0.4">
      <c r="A2" s="75" t="s">
        <v>20</v>
      </c>
      <c r="B2" s="927"/>
      <c r="G2" s="72"/>
      <c r="H2" s="28"/>
      <c r="I2" s="57"/>
      <c r="K2" s="29"/>
      <c r="O2" s="2"/>
      <c r="P2" s="2"/>
      <c r="Q2" s="82"/>
      <c r="R2" s="2"/>
    </row>
    <row r="3" spans="1:19" s="27" customFormat="1" ht="60" customHeight="1" x14ac:dyDescent="0.35">
      <c r="A3" s="791"/>
      <c r="B3" s="928"/>
      <c r="H3" s="28"/>
      <c r="I3" s="57"/>
      <c r="K3" s="29"/>
      <c r="O3" s="2"/>
      <c r="P3" s="2"/>
      <c r="Q3" s="82"/>
      <c r="R3" s="2"/>
    </row>
    <row r="4" spans="1:19" ht="18" customHeight="1" x14ac:dyDescent="0.25">
      <c r="B4" s="6"/>
      <c r="C4" s="6"/>
      <c r="D4" s="6"/>
      <c r="E4" s="6"/>
      <c r="F4" s="6"/>
      <c r="G4" s="6"/>
      <c r="H4" s="6"/>
      <c r="I4" s="6"/>
      <c r="J4" s="6"/>
      <c r="K4" s="6"/>
      <c r="L4" s="6"/>
      <c r="M4" s="6"/>
      <c r="N4" s="7"/>
    </row>
    <row r="5" spans="1:19" x14ac:dyDescent="0.25">
      <c r="A5" s="2" t="s">
        <v>608</v>
      </c>
      <c r="B5" s="1059"/>
      <c r="C5" s="1059"/>
      <c r="D5" s="1059"/>
      <c r="E5" s="1059"/>
      <c r="F5" s="1059"/>
      <c r="G5" s="1059"/>
      <c r="H5" s="1059"/>
      <c r="I5" s="1059"/>
      <c r="J5" s="1059"/>
      <c r="K5" s="1059"/>
      <c r="L5" s="1059"/>
      <c r="M5" s="1059"/>
      <c r="N5" s="7"/>
    </row>
    <row r="6" spans="1:19" ht="18.75" thickBot="1" x14ac:dyDescent="0.3">
      <c r="A6" s="2"/>
      <c r="B6" s="929"/>
      <c r="C6" s="7"/>
      <c r="D6" s="7"/>
      <c r="E6" s="7"/>
      <c r="F6" s="7"/>
      <c r="G6" s="73"/>
      <c r="H6" s="67"/>
      <c r="I6" s="58"/>
      <c r="J6" s="7"/>
      <c r="K6" s="7"/>
      <c r="M6" s="7"/>
      <c r="N6" s="7"/>
    </row>
    <row r="7" spans="1:19" ht="72.75" customHeight="1" x14ac:dyDescent="0.25">
      <c r="A7" s="1398" t="s">
        <v>0</v>
      </c>
      <c r="B7" s="1400" t="s">
        <v>281</v>
      </c>
      <c r="C7" s="1402" t="s">
        <v>1</v>
      </c>
      <c r="D7" s="1404" t="s">
        <v>2</v>
      </c>
      <c r="E7" s="1406" t="s">
        <v>3</v>
      </c>
      <c r="F7" s="1407"/>
      <c r="G7" s="1293" t="s">
        <v>36</v>
      </c>
      <c r="H7" s="1392" t="s">
        <v>619</v>
      </c>
      <c r="I7" s="1393"/>
      <c r="J7" s="1394" t="s">
        <v>44</v>
      </c>
      <c r="K7" s="1395"/>
      <c r="L7" s="1396" t="s">
        <v>4</v>
      </c>
      <c r="M7" s="1397"/>
      <c r="N7" s="1410"/>
      <c r="O7" s="1410"/>
    </row>
    <row r="8" spans="1:19" ht="38.25" customHeight="1" thickBot="1" x14ac:dyDescent="0.3">
      <c r="A8" s="1399"/>
      <c r="B8" s="1401"/>
      <c r="C8" s="1403"/>
      <c r="D8" s="1405"/>
      <c r="E8" s="1408"/>
      <c r="F8" s="1409"/>
      <c r="G8" s="1391"/>
      <c r="H8" s="930" t="s">
        <v>620</v>
      </c>
      <c r="I8" s="931" t="s">
        <v>18</v>
      </c>
      <c r="J8" s="932" t="s">
        <v>43</v>
      </c>
      <c r="K8" s="931" t="s">
        <v>42</v>
      </c>
      <c r="L8" s="933" t="s">
        <v>18</v>
      </c>
      <c r="M8" s="934" t="s">
        <v>621</v>
      </c>
      <c r="N8" s="1410"/>
      <c r="O8" s="1410"/>
      <c r="P8" s="2"/>
      <c r="Q8" s="82"/>
      <c r="R8" s="2"/>
    </row>
    <row r="9" spans="1:19" ht="24.95" customHeight="1" x14ac:dyDescent="0.25">
      <c r="A9" s="935" t="s">
        <v>622</v>
      </c>
      <c r="B9" s="936">
        <v>446980</v>
      </c>
      <c r="C9" s="9">
        <v>1200</v>
      </c>
      <c r="D9" s="937">
        <v>600</v>
      </c>
      <c r="E9" s="938">
        <v>30</v>
      </c>
      <c r="F9" s="11">
        <v>50</v>
      </c>
      <c r="G9" s="61" t="s">
        <v>46</v>
      </c>
      <c r="H9" s="45">
        <v>104</v>
      </c>
      <c r="I9" s="939">
        <v>2.9952000000000001</v>
      </c>
      <c r="J9" s="201">
        <v>65.894400000000005</v>
      </c>
      <c r="K9" s="180">
        <v>71.884799999999998</v>
      </c>
      <c r="L9" s="971">
        <v>6023</v>
      </c>
      <c r="M9" s="940">
        <f>L9*(C9*D9*((E9+F9)/2)/1000000000)</f>
        <v>173.4624</v>
      </c>
      <c r="N9" s="4"/>
      <c r="O9" s="2"/>
      <c r="P9" s="2"/>
      <c r="Q9" s="2"/>
      <c r="R9" s="2"/>
      <c r="S9" s="2"/>
    </row>
    <row r="10" spans="1:19" ht="24.95" customHeight="1" x14ac:dyDescent="0.25">
      <c r="A10" s="941" t="s">
        <v>623</v>
      </c>
      <c r="B10" s="942">
        <v>446986</v>
      </c>
      <c r="C10" s="12">
        <v>1200</v>
      </c>
      <c r="D10" s="943">
        <v>600</v>
      </c>
      <c r="E10" s="944">
        <v>50</v>
      </c>
      <c r="F10" s="14">
        <v>70</v>
      </c>
      <c r="G10" s="62" t="s">
        <v>46</v>
      </c>
      <c r="H10" s="47">
        <v>72</v>
      </c>
      <c r="I10" s="945">
        <v>3.1104000000000003</v>
      </c>
      <c r="J10" s="192">
        <v>68.42880000000001</v>
      </c>
      <c r="K10" s="182">
        <v>74.649600000000007</v>
      </c>
      <c r="L10" s="972">
        <v>5733</v>
      </c>
      <c r="M10" s="946">
        <f>L10*(C10*D10*((E10+F10)/2)/1000000000)</f>
        <v>247.66560000000001</v>
      </c>
      <c r="N10" s="4"/>
      <c r="O10" s="2"/>
      <c r="P10" s="2"/>
      <c r="Q10" s="2"/>
      <c r="R10" s="2"/>
      <c r="S10" s="2"/>
    </row>
    <row r="11" spans="1:19" ht="24.95" customHeight="1" thickBot="1" x14ac:dyDescent="0.3">
      <c r="A11" s="947" t="s">
        <v>624</v>
      </c>
      <c r="B11" s="948">
        <v>447042</v>
      </c>
      <c r="C11" s="15">
        <v>1200</v>
      </c>
      <c r="D11" s="949">
        <v>600</v>
      </c>
      <c r="E11" s="950">
        <v>40</v>
      </c>
      <c r="F11" s="17">
        <v>40</v>
      </c>
      <c r="G11" s="63" t="s">
        <v>46</v>
      </c>
      <c r="H11" s="49">
        <v>108</v>
      </c>
      <c r="I11" s="951">
        <v>3.1103999999999998</v>
      </c>
      <c r="J11" s="195">
        <v>68.428799999999995</v>
      </c>
      <c r="K11" s="184">
        <v>74.649599999999992</v>
      </c>
      <c r="L11" s="648">
        <v>5103</v>
      </c>
      <c r="M11" s="952">
        <f>L11*(C11*D11*((E11+F11)/2)/1000000000)</f>
        <v>146.96639999999999</v>
      </c>
      <c r="N11" s="4"/>
      <c r="O11" s="2"/>
      <c r="P11" s="2"/>
      <c r="Q11" s="2"/>
      <c r="R11" s="2"/>
      <c r="S11" s="2"/>
    </row>
    <row r="12" spans="1:19" ht="24.95" customHeight="1" x14ac:dyDescent="0.25">
      <c r="A12" s="935" t="s">
        <v>622</v>
      </c>
      <c r="B12" s="936">
        <v>433187</v>
      </c>
      <c r="C12" s="9">
        <v>1200</v>
      </c>
      <c r="D12" s="937">
        <v>1200</v>
      </c>
      <c r="E12" s="938">
        <v>30</v>
      </c>
      <c r="F12" s="11">
        <v>50</v>
      </c>
      <c r="G12" s="61" t="s">
        <v>46</v>
      </c>
      <c r="H12" s="45">
        <v>52</v>
      </c>
      <c r="I12" s="939">
        <v>2.9952000000000001</v>
      </c>
      <c r="J12" s="201">
        <v>65.894400000000005</v>
      </c>
      <c r="K12" s="180">
        <v>71.884799999999998</v>
      </c>
      <c r="L12" s="971" t="s">
        <v>417</v>
      </c>
      <c r="M12" s="940"/>
      <c r="N12" s="4"/>
      <c r="O12" s="2"/>
      <c r="P12" s="2"/>
      <c r="Q12" s="2"/>
      <c r="R12" s="2"/>
      <c r="S12" s="2"/>
    </row>
    <row r="13" spans="1:19" ht="24.95" customHeight="1" x14ac:dyDescent="0.25">
      <c r="A13" s="941" t="s">
        <v>623</v>
      </c>
      <c r="B13" s="942">
        <v>433188</v>
      </c>
      <c r="C13" s="12">
        <v>1200</v>
      </c>
      <c r="D13" s="943">
        <v>1200</v>
      </c>
      <c r="E13" s="944">
        <v>50</v>
      </c>
      <c r="F13" s="14">
        <v>70</v>
      </c>
      <c r="G13" s="62" t="s">
        <v>46</v>
      </c>
      <c r="H13" s="47">
        <v>36</v>
      </c>
      <c r="I13" s="945">
        <v>3.1104000000000003</v>
      </c>
      <c r="J13" s="192">
        <v>68.42880000000001</v>
      </c>
      <c r="K13" s="182">
        <v>74.649600000000007</v>
      </c>
      <c r="L13" s="972" t="s">
        <v>417</v>
      </c>
      <c r="M13" s="946"/>
      <c r="N13" s="4"/>
      <c r="O13" s="2"/>
      <c r="P13" s="2"/>
      <c r="Q13" s="2"/>
      <c r="R13" s="2"/>
      <c r="S13" s="2"/>
    </row>
    <row r="14" spans="1:19" ht="24.95" customHeight="1" thickBot="1" x14ac:dyDescent="0.3">
      <c r="A14" s="947" t="s">
        <v>624</v>
      </c>
      <c r="B14" s="948">
        <v>433190</v>
      </c>
      <c r="C14" s="15">
        <v>1200</v>
      </c>
      <c r="D14" s="949">
        <v>1200</v>
      </c>
      <c r="E14" s="950">
        <v>40</v>
      </c>
      <c r="F14" s="17">
        <v>40</v>
      </c>
      <c r="G14" s="63" t="s">
        <v>46</v>
      </c>
      <c r="H14" s="49">
        <v>54</v>
      </c>
      <c r="I14" s="951">
        <v>3.1103999999999998</v>
      </c>
      <c r="J14" s="195">
        <v>68.428799999999995</v>
      </c>
      <c r="K14" s="184">
        <v>74.649599999999992</v>
      </c>
      <c r="L14" s="648" t="s">
        <v>417</v>
      </c>
      <c r="M14" s="952"/>
      <c r="N14" s="4"/>
      <c r="O14" s="2"/>
      <c r="P14" s="2"/>
      <c r="Q14" s="2"/>
      <c r="R14" s="2"/>
      <c r="S14" s="2"/>
    </row>
    <row r="15" spans="1:19" ht="24.95" customHeight="1" x14ac:dyDescent="0.25">
      <c r="A15" s="935" t="s">
        <v>625</v>
      </c>
      <c r="B15" s="936">
        <v>433191</v>
      </c>
      <c r="C15" s="9">
        <v>1200</v>
      </c>
      <c r="D15" s="937">
        <v>600</v>
      </c>
      <c r="E15" s="938">
        <v>30</v>
      </c>
      <c r="F15" s="11">
        <v>55</v>
      </c>
      <c r="G15" s="61" t="s">
        <v>46</v>
      </c>
      <c r="H15" s="45">
        <v>88</v>
      </c>
      <c r="I15" s="939">
        <v>2.6928000000000001</v>
      </c>
      <c r="J15" s="201">
        <v>59.241600000000005</v>
      </c>
      <c r="K15" s="180">
        <v>64.627200000000002</v>
      </c>
      <c r="L15" s="971">
        <v>6080</v>
      </c>
      <c r="M15" s="969">
        <f t="shared" ref="M15:M18" si="0">L15*(C15*D15*((E15+F15)/2)/1000000000)</f>
        <v>186.048</v>
      </c>
      <c r="N15" s="4"/>
      <c r="O15" s="2"/>
      <c r="P15" s="2"/>
      <c r="Q15" s="2"/>
      <c r="R15" s="2"/>
      <c r="S15" s="2"/>
    </row>
    <row r="16" spans="1:19" ht="24.95" customHeight="1" x14ac:dyDescent="0.25">
      <c r="A16" s="941" t="s">
        <v>626</v>
      </c>
      <c r="B16" s="942">
        <v>433192</v>
      </c>
      <c r="C16" s="12">
        <v>1200</v>
      </c>
      <c r="D16" s="943">
        <v>600</v>
      </c>
      <c r="E16" s="944">
        <v>55</v>
      </c>
      <c r="F16" s="14">
        <v>80</v>
      </c>
      <c r="G16" s="62" t="s">
        <v>46</v>
      </c>
      <c r="H16" s="47">
        <v>64</v>
      </c>
      <c r="I16" s="945">
        <v>3.1103999999999998</v>
      </c>
      <c r="J16" s="192">
        <v>68.428799999999995</v>
      </c>
      <c r="K16" s="182">
        <v>74.649599999999992</v>
      </c>
      <c r="L16" s="972">
        <v>5654</v>
      </c>
      <c r="M16" s="946">
        <f t="shared" si="0"/>
        <v>274.78440000000001</v>
      </c>
      <c r="N16" s="4"/>
      <c r="O16" s="2"/>
      <c r="P16" s="2"/>
      <c r="Q16" s="2"/>
      <c r="R16" s="2"/>
      <c r="S16" s="2"/>
    </row>
    <row r="17" spans="1:19" ht="24.95" customHeight="1" thickBot="1" x14ac:dyDescent="0.3">
      <c r="A17" s="947" t="s">
        <v>627</v>
      </c>
      <c r="B17" s="948">
        <v>43393</v>
      </c>
      <c r="C17" s="15">
        <v>1200</v>
      </c>
      <c r="D17" s="949">
        <v>600</v>
      </c>
      <c r="E17" s="950">
        <v>50</v>
      </c>
      <c r="F17" s="17">
        <v>50</v>
      </c>
      <c r="G17" s="63" t="s">
        <v>46</v>
      </c>
      <c r="H17" s="306">
        <v>192</v>
      </c>
      <c r="I17" s="248">
        <v>6.9119999999999999</v>
      </c>
      <c r="J17" s="616">
        <v>76.031999999999996</v>
      </c>
      <c r="K17" s="129">
        <v>82.944000000000003</v>
      </c>
      <c r="L17" s="648">
        <v>5107</v>
      </c>
      <c r="M17" s="952">
        <f t="shared" si="0"/>
        <v>183.85199999999998</v>
      </c>
      <c r="N17" s="4"/>
      <c r="O17" s="2"/>
      <c r="P17" s="2"/>
      <c r="Q17" s="2"/>
      <c r="R17" s="2"/>
      <c r="S17" s="2"/>
    </row>
    <row r="18" spans="1:19" s="745" customFormat="1" ht="24.95" customHeight="1" thickBot="1" x14ac:dyDescent="0.3">
      <c r="A18" s="958" t="s">
        <v>628</v>
      </c>
      <c r="B18" s="959">
        <v>405797</v>
      </c>
      <c r="C18" s="960">
        <v>1200</v>
      </c>
      <c r="D18" s="961">
        <v>100</v>
      </c>
      <c r="E18" s="962">
        <v>0</v>
      </c>
      <c r="F18" s="963">
        <v>100</v>
      </c>
      <c r="G18" s="964" t="s">
        <v>46</v>
      </c>
      <c r="H18" s="965">
        <v>480</v>
      </c>
      <c r="I18" s="966">
        <v>2.88</v>
      </c>
      <c r="J18" s="967">
        <v>63.36</v>
      </c>
      <c r="K18" s="968">
        <v>69.12</v>
      </c>
      <c r="L18" s="973">
        <v>9386</v>
      </c>
      <c r="M18" s="970">
        <f t="shared" si="0"/>
        <v>56.316000000000003</v>
      </c>
      <c r="N18" s="4"/>
      <c r="O18" s="2"/>
      <c r="P18" s="2"/>
      <c r="Q18" s="2"/>
    </row>
    <row r="19" spans="1:19" ht="20.100000000000001" customHeight="1" x14ac:dyDescent="0.25">
      <c r="A19" s="18"/>
      <c r="B19" s="954"/>
      <c r="J19" s="595"/>
      <c r="K19" s="595"/>
    </row>
    <row r="20" spans="1:19" ht="18.75" customHeight="1" x14ac:dyDescent="0.25">
      <c r="A20" s="1" t="s">
        <v>7</v>
      </c>
      <c r="B20" s="91"/>
      <c r="C20" s="91"/>
      <c r="D20" s="91"/>
      <c r="G20" s="2"/>
      <c r="J20" s="1275" t="s">
        <v>21</v>
      </c>
      <c r="K20" s="1275"/>
      <c r="L20" s="1275"/>
      <c r="M20" s="1275"/>
      <c r="O20" s="2"/>
      <c r="P20" s="2"/>
      <c r="Q20" s="82"/>
      <c r="R20" s="2"/>
      <c r="S20" s="2"/>
    </row>
    <row r="21" spans="1:19" s="745" customFormat="1" ht="20.100000000000001" customHeight="1" x14ac:dyDescent="0.25">
      <c r="A21" s="471" t="s">
        <v>423</v>
      </c>
      <c r="B21" s="32"/>
      <c r="C21" s="32"/>
      <c r="D21" s="32"/>
      <c r="H21" s="746"/>
      <c r="I21" s="748"/>
      <c r="J21" s="1244" t="s">
        <v>40</v>
      </c>
      <c r="K21" s="1244"/>
      <c r="L21" s="1244"/>
      <c r="M21" s="1244"/>
      <c r="N21" s="2"/>
      <c r="O21" s="2"/>
      <c r="Q21" s="953"/>
    </row>
    <row r="22" spans="1:19" ht="20.100000000000001" customHeight="1" x14ac:dyDescent="0.25">
      <c r="A22" s="26" t="s">
        <v>438</v>
      </c>
      <c r="B22" s="2"/>
      <c r="G22" s="2"/>
      <c r="J22" s="1244" t="s">
        <v>39</v>
      </c>
      <c r="K22" s="1244"/>
      <c r="L22" s="1244"/>
      <c r="M22" s="1244"/>
      <c r="O22" s="2"/>
      <c r="P22" s="2"/>
      <c r="Q22" s="82"/>
      <c r="R22" s="2"/>
      <c r="S22" s="2"/>
    </row>
    <row r="23" spans="1:19" ht="20.100000000000001" customHeight="1" x14ac:dyDescent="0.25">
      <c r="A23" s="26" t="s">
        <v>24</v>
      </c>
      <c r="B23" s="2"/>
      <c r="G23" s="2"/>
      <c r="J23" s="1245" t="s">
        <v>37</v>
      </c>
      <c r="K23" s="1245"/>
      <c r="L23" s="1245"/>
      <c r="M23" s="1245"/>
      <c r="O23" s="2"/>
      <c r="P23" s="2"/>
      <c r="Q23" s="82"/>
      <c r="R23" s="2"/>
      <c r="S23" s="2"/>
    </row>
    <row r="24" spans="1:19" ht="20.100000000000001" customHeight="1" x14ac:dyDescent="0.25">
      <c r="A24" s="26" t="s">
        <v>52</v>
      </c>
      <c r="B24" s="2"/>
      <c r="G24" s="2"/>
      <c r="L24" s="1245"/>
      <c r="M24" s="1245"/>
      <c r="O24" s="2"/>
      <c r="P24" s="2"/>
      <c r="Q24" s="82"/>
      <c r="R24" s="2"/>
      <c r="S24" s="2"/>
    </row>
    <row r="25" spans="1:19" ht="20.100000000000001" customHeight="1" x14ac:dyDescent="0.25">
      <c r="A25" s="30" t="s">
        <v>541</v>
      </c>
      <c r="B25" s="2"/>
      <c r="G25" s="2"/>
      <c r="O25" s="2"/>
      <c r="P25" s="2"/>
      <c r="Q25" s="82"/>
      <c r="R25" s="2"/>
      <c r="S25" s="2"/>
    </row>
    <row r="26" spans="1:19" ht="20.100000000000001" customHeight="1" x14ac:dyDescent="0.25">
      <c r="A26" s="30" t="s">
        <v>542</v>
      </c>
      <c r="B26" s="2"/>
      <c r="G26" s="2"/>
      <c r="O26" s="2"/>
      <c r="P26" s="2"/>
      <c r="Q26" s="82"/>
      <c r="R26" s="2"/>
      <c r="S26" s="2"/>
    </row>
    <row r="27" spans="1:19" ht="20.100000000000001" customHeight="1" x14ac:dyDescent="0.25">
      <c r="A27" s="30" t="s">
        <v>559</v>
      </c>
      <c r="B27" s="2"/>
      <c r="G27" s="2"/>
      <c r="O27" s="2"/>
      <c r="P27" s="2"/>
      <c r="Q27" s="82"/>
      <c r="R27" s="2"/>
      <c r="S27" s="2"/>
    </row>
    <row r="28" spans="1:19" ht="20.100000000000001" customHeight="1" x14ac:dyDescent="0.25">
      <c r="A28" s="957"/>
      <c r="B28" s="956"/>
      <c r="G28" s="2"/>
      <c r="O28" s="2"/>
      <c r="P28" s="2"/>
      <c r="Q28" s="82"/>
      <c r="R28" s="2"/>
      <c r="S28" s="2"/>
    </row>
    <row r="29" spans="1:19" ht="20.100000000000001" customHeight="1" x14ac:dyDescent="0.25">
      <c r="A29" s="26"/>
      <c r="B29" s="955"/>
      <c r="G29" s="2"/>
      <c r="L29" s="1245"/>
      <c r="M29" s="1245"/>
      <c r="O29" s="81"/>
      <c r="P29" s="2"/>
      <c r="Q29" s="82"/>
      <c r="R29" s="2"/>
      <c r="S29" s="2"/>
    </row>
  </sheetData>
  <mergeCells count="17">
    <mergeCell ref="L24:M24"/>
    <mergeCell ref="L29:M29"/>
    <mergeCell ref="N7:N8"/>
    <mergeCell ref="O7:O8"/>
    <mergeCell ref="J21:M21"/>
    <mergeCell ref="J22:M22"/>
    <mergeCell ref="J23:M23"/>
    <mergeCell ref="J20:M20"/>
    <mergeCell ref="G7:G8"/>
    <mergeCell ref="H7:I7"/>
    <mergeCell ref="J7:K7"/>
    <mergeCell ref="L7:M7"/>
    <mergeCell ref="A7:A8"/>
    <mergeCell ref="B7:B8"/>
    <mergeCell ref="C7:C8"/>
    <mergeCell ref="D7:D8"/>
    <mergeCell ref="E7:F8"/>
  </mergeCells>
  <hyperlinks>
    <hyperlink ref="J23" r:id="rId1"/>
  </hyperlinks>
  <pageMargins left="0.7" right="0.7" top="0.75" bottom="0.75" header="0.3" footer="0.3"/>
  <pageSetup paperSize="9" scale="42" orientation="portrait" r:id="rId2"/>
  <drawing r:id="rId3"/>
  <legacyDrawing r:id="rId4"/>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U29"/>
  <sheetViews>
    <sheetView view="pageBreakPreview" topLeftCell="C1" zoomScale="70" zoomScaleNormal="70" zoomScaleSheetLayoutView="70" workbookViewId="0">
      <selection activeCell="P1" sqref="P1:R1048576"/>
    </sheetView>
  </sheetViews>
  <sheetFormatPr defaultColWidth="11.42578125" defaultRowHeight="18" x14ac:dyDescent="0.25"/>
  <cols>
    <col min="1" max="1" width="59.7109375" style="3" customWidth="1"/>
    <col min="2" max="2" width="10.7109375" style="567" customWidth="1"/>
    <col min="3" max="4" width="11.7109375" style="2" customWidth="1"/>
    <col min="5" max="6" width="10.7109375" style="2" customWidth="1"/>
    <col min="7" max="7" width="6.140625" style="71" customWidth="1"/>
    <col min="8" max="8" width="14.42578125" style="4" customWidth="1"/>
    <col min="9" max="9" width="14.42578125" style="56" customWidth="1"/>
    <col min="10" max="10" width="14.42578125" style="2" customWidth="1"/>
    <col min="11" max="11" width="14.42578125" style="5" customWidth="1"/>
    <col min="12" max="13" width="15.140625" style="2" customWidth="1"/>
    <col min="14" max="14" width="18" style="745" customWidth="1"/>
    <col min="15" max="15" width="46.140625" style="745" customWidth="1"/>
    <col min="16" max="16" width="11.42578125" style="2"/>
    <col min="17" max="17" width="11.42578125" style="79"/>
    <col min="18" max="18" width="24.85546875" style="79" customWidth="1"/>
    <col min="19" max="19" width="15.85546875" style="86" customWidth="1"/>
    <col min="20" max="20" width="11.42578125" style="79"/>
    <col min="22" max="258" width="11.42578125" style="2"/>
    <col min="259" max="259" width="59.7109375" style="2" customWidth="1"/>
    <col min="260" max="260" width="10.7109375" style="2" customWidth="1"/>
    <col min="261" max="262" width="11.7109375" style="2" customWidth="1"/>
    <col min="263" max="264" width="10.7109375" style="2" customWidth="1"/>
    <col min="265" max="265" width="6.140625" style="2" customWidth="1"/>
    <col min="266" max="269" width="14.42578125" style="2" customWidth="1"/>
    <col min="270" max="271" width="15.140625" style="2" customWidth="1"/>
    <col min="272" max="273" width="11.42578125" style="2"/>
    <col min="274" max="274" width="24.85546875" style="2" customWidth="1"/>
    <col min="275" max="275" width="10.7109375" style="2" customWidth="1"/>
    <col min="276" max="514" width="11.42578125" style="2"/>
    <col min="515" max="515" width="59.7109375" style="2" customWidth="1"/>
    <col min="516" max="516" width="10.7109375" style="2" customWidth="1"/>
    <col min="517" max="518" width="11.7109375" style="2" customWidth="1"/>
    <col min="519" max="520" width="10.7109375" style="2" customWidth="1"/>
    <col min="521" max="521" width="6.140625" style="2" customWidth="1"/>
    <col min="522" max="525" width="14.42578125" style="2" customWidth="1"/>
    <col min="526" max="527" width="15.140625" style="2" customWidth="1"/>
    <col min="528" max="529" width="11.42578125" style="2"/>
    <col min="530" max="530" width="24.85546875" style="2" customWidth="1"/>
    <col min="531" max="531" width="10.7109375" style="2" customWidth="1"/>
    <col min="532" max="770" width="11.42578125" style="2"/>
    <col min="771" max="771" width="59.7109375" style="2" customWidth="1"/>
    <col min="772" max="772" width="10.7109375" style="2" customWidth="1"/>
    <col min="773" max="774" width="11.7109375" style="2" customWidth="1"/>
    <col min="775" max="776" width="10.7109375" style="2" customWidth="1"/>
    <col min="777" max="777" width="6.140625" style="2" customWidth="1"/>
    <col min="778" max="781" width="14.42578125" style="2" customWidth="1"/>
    <col min="782" max="783" width="15.140625" style="2" customWidth="1"/>
    <col min="784" max="785" width="11.42578125" style="2"/>
    <col min="786" max="786" width="24.85546875" style="2" customWidth="1"/>
    <col min="787" max="787" width="10.7109375" style="2" customWidth="1"/>
    <col min="788" max="1026" width="11.42578125" style="2"/>
    <col min="1027" max="1027" width="59.7109375" style="2" customWidth="1"/>
    <col min="1028" max="1028" width="10.7109375" style="2" customWidth="1"/>
    <col min="1029" max="1030" width="11.7109375" style="2" customWidth="1"/>
    <col min="1031" max="1032" width="10.7109375" style="2" customWidth="1"/>
    <col min="1033" max="1033" width="6.140625" style="2" customWidth="1"/>
    <col min="1034" max="1037" width="14.42578125" style="2" customWidth="1"/>
    <col min="1038" max="1039" width="15.140625" style="2" customWidth="1"/>
    <col min="1040" max="1041" width="11.42578125" style="2"/>
    <col min="1042" max="1042" width="24.85546875" style="2" customWidth="1"/>
    <col min="1043" max="1043" width="10.7109375" style="2" customWidth="1"/>
    <col min="1044" max="1282" width="11.42578125" style="2"/>
    <col min="1283" max="1283" width="59.7109375" style="2" customWidth="1"/>
    <col min="1284" max="1284" width="10.7109375" style="2" customWidth="1"/>
    <col min="1285" max="1286" width="11.7109375" style="2" customWidth="1"/>
    <col min="1287" max="1288" width="10.7109375" style="2" customWidth="1"/>
    <col min="1289" max="1289" width="6.140625" style="2" customWidth="1"/>
    <col min="1290" max="1293" width="14.42578125" style="2" customWidth="1"/>
    <col min="1294" max="1295" width="15.140625" style="2" customWidth="1"/>
    <col min="1296" max="1297" width="11.42578125" style="2"/>
    <col min="1298" max="1298" width="24.85546875" style="2" customWidth="1"/>
    <col min="1299" max="1299" width="10.7109375" style="2" customWidth="1"/>
    <col min="1300" max="1538" width="11.42578125" style="2"/>
    <col min="1539" max="1539" width="59.7109375" style="2" customWidth="1"/>
    <col min="1540" max="1540" width="10.7109375" style="2" customWidth="1"/>
    <col min="1541" max="1542" width="11.7109375" style="2" customWidth="1"/>
    <col min="1543" max="1544" width="10.7109375" style="2" customWidth="1"/>
    <col min="1545" max="1545" width="6.140625" style="2" customWidth="1"/>
    <col min="1546" max="1549" width="14.42578125" style="2" customWidth="1"/>
    <col min="1550" max="1551" width="15.140625" style="2" customWidth="1"/>
    <col min="1552" max="1553" width="11.42578125" style="2"/>
    <col min="1554" max="1554" width="24.85546875" style="2" customWidth="1"/>
    <col min="1555" max="1555" width="10.7109375" style="2" customWidth="1"/>
    <col min="1556" max="1794" width="11.42578125" style="2"/>
    <col min="1795" max="1795" width="59.7109375" style="2" customWidth="1"/>
    <col min="1796" max="1796" width="10.7109375" style="2" customWidth="1"/>
    <col min="1797" max="1798" width="11.7109375" style="2" customWidth="1"/>
    <col min="1799" max="1800" width="10.7109375" style="2" customWidth="1"/>
    <col min="1801" max="1801" width="6.140625" style="2" customWidth="1"/>
    <col min="1802" max="1805" width="14.42578125" style="2" customWidth="1"/>
    <col min="1806" max="1807" width="15.140625" style="2" customWidth="1"/>
    <col min="1808" max="1809" width="11.42578125" style="2"/>
    <col min="1810" max="1810" width="24.85546875" style="2" customWidth="1"/>
    <col min="1811" max="1811" width="10.7109375" style="2" customWidth="1"/>
    <col min="1812" max="2050" width="11.42578125" style="2"/>
    <col min="2051" max="2051" width="59.7109375" style="2" customWidth="1"/>
    <col min="2052" max="2052" width="10.7109375" style="2" customWidth="1"/>
    <col min="2053" max="2054" width="11.7109375" style="2" customWidth="1"/>
    <col min="2055" max="2056" width="10.7109375" style="2" customWidth="1"/>
    <col min="2057" max="2057" width="6.140625" style="2" customWidth="1"/>
    <col min="2058" max="2061" width="14.42578125" style="2" customWidth="1"/>
    <col min="2062" max="2063" width="15.140625" style="2" customWidth="1"/>
    <col min="2064" max="2065" width="11.42578125" style="2"/>
    <col min="2066" max="2066" width="24.85546875" style="2" customWidth="1"/>
    <col min="2067" max="2067" width="10.7109375" style="2" customWidth="1"/>
    <col min="2068" max="2306" width="11.42578125" style="2"/>
    <col min="2307" max="2307" width="59.7109375" style="2" customWidth="1"/>
    <col min="2308" max="2308" width="10.7109375" style="2" customWidth="1"/>
    <col min="2309" max="2310" width="11.7109375" style="2" customWidth="1"/>
    <col min="2311" max="2312" width="10.7109375" style="2" customWidth="1"/>
    <col min="2313" max="2313" width="6.140625" style="2" customWidth="1"/>
    <col min="2314" max="2317" width="14.42578125" style="2" customWidth="1"/>
    <col min="2318" max="2319" width="15.140625" style="2" customWidth="1"/>
    <col min="2320" max="2321" width="11.42578125" style="2"/>
    <col min="2322" max="2322" width="24.85546875" style="2" customWidth="1"/>
    <col min="2323" max="2323" width="10.7109375" style="2" customWidth="1"/>
    <col min="2324" max="2562" width="11.42578125" style="2"/>
    <col min="2563" max="2563" width="59.7109375" style="2" customWidth="1"/>
    <col min="2564" max="2564" width="10.7109375" style="2" customWidth="1"/>
    <col min="2565" max="2566" width="11.7109375" style="2" customWidth="1"/>
    <col min="2567" max="2568" width="10.7109375" style="2" customWidth="1"/>
    <col min="2569" max="2569" width="6.140625" style="2" customWidth="1"/>
    <col min="2570" max="2573" width="14.42578125" style="2" customWidth="1"/>
    <col min="2574" max="2575" width="15.140625" style="2" customWidth="1"/>
    <col min="2576" max="2577" width="11.42578125" style="2"/>
    <col min="2578" max="2578" width="24.85546875" style="2" customWidth="1"/>
    <col min="2579" max="2579" width="10.7109375" style="2" customWidth="1"/>
    <col min="2580" max="2818" width="11.42578125" style="2"/>
    <col min="2819" max="2819" width="59.7109375" style="2" customWidth="1"/>
    <col min="2820" max="2820" width="10.7109375" style="2" customWidth="1"/>
    <col min="2821" max="2822" width="11.7109375" style="2" customWidth="1"/>
    <col min="2823" max="2824" width="10.7109375" style="2" customWidth="1"/>
    <col min="2825" max="2825" width="6.140625" style="2" customWidth="1"/>
    <col min="2826" max="2829" width="14.42578125" style="2" customWidth="1"/>
    <col min="2830" max="2831" width="15.140625" style="2" customWidth="1"/>
    <col min="2832" max="2833" width="11.42578125" style="2"/>
    <col min="2834" max="2834" width="24.85546875" style="2" customWidth="1"/>
    <col min="2835" max="2835" width="10.7109375" style="2" customWidth="1"/>
    <col min="2836" max="3074" width="11.42578125" style="2"/>
    <col min="3075" max="3075" width="59.7109375" style="2" customWidth="1"/>
    <col min="3076" max="3076" width="10.7109375" style="2" customWidth="1"/>
    <col min="3077" max="3078" width="11.7109375" style="2" customWidth="1"/>
    <col min="3079" max="3080" width="10.7109375" style="2" customWidth="1"/>
    <col min="3081" max="3081" width="6.140625" style="2" customWidth="1"/>
    <col min="3082" max="3085" width="14.42578125" style="2" customWidth="1"/>
    <col min="3086" max="3087" width="15.140625" style="2" customWidth="1"/>
    <col min="3088" max="3089" width="11.42578125" style="2"/>
    <col min="3090" max="3090" width="24.85546875" style="2" customWidth="1"/>
    <col min="3091" max="3091" width="10.7109375" style="2" customWidth="1"/>
    <col min="3092" max="3330" width="11.42578125" style="2"/>
    <col min="3331" max="3331" width="59.7109375" style="2" customWidth="1"/>
    <col min="3332" max="3332" width="10.7109375" style="2" customWidth="1"/>
    <col min="3333" max="3334" width="11.7109375" style="2" customWidth="1"/>
    <col min="3335" max="3336" width="10.7109375" style="2" customWidth="1"/>
    <col min="3337" max="3337" width="6.140625" style="2" customWidth="1"/>
    <col min="3338" max="3341" width="14.42578125" style="2" customWidth="1"/>
    <col min="3342" max="3343" width="15.140625" style="2" customWidth="1"/>
    <col min="3344" max="3345" width="11.42578125" style="2"/>
    <col min="3346" max="3346" width="24.85546875" style="2" customWidth="1"/>
    <col min="3347" max="3347" width="10.7109375" style="2" customWidth="1"/>
    <col min="3348" max="3586" width="11.42578125" style="2"/>
    <col min="3587" max="3587" width="59.7109375" style="2" customWidth="1"/>
    <col min="3588" max="3588" width="10.7109375" style="2" customWidth="1"/>
    <col min="3589" max="3590" width="11.7109375" style="2" customWidth="1"/>
    <col min="3591" max="3592" width="10.7109375" style="2" customWidth="1"/>
    <col min="3593" max="3593" width="6.140625" style="2" customWidth="1"/>
    <col min="3594" max="3597" width="14.42578125" style="2" customWidth="1"/>
    <col min="3598" max="3599" width="15.140625" style="2" customWidth="1"/>
    <col min="3600" max="3601" width="11.42578125" style="2"/>
    <col min="3602" max="3602" width="24.85546875" style="2" customWidth="1"/>
    <col min="3603" max="3603" width="10.7109375" style="2" customWidth="1"/>
    <col min="3604" max="3842" width="11.42578125" style="2"/>
    <col min="3843" max="3843" width="59.7109375" style="2" customWidth="1"/>
    <col min="3844" max="3844" width="10.7109375" style="2" customWidth="1"/>
    <col min="3845" max="3846" width="11.7109375" style="2" customWidth="1"/>
    <col min="3847" max="3848" width="10.7109375" style="2" customWidth="1"/>
    <col min="3849" max="3849" width="6.140625" style="2" customWidth="1"/>
    <col min="3850" max="3853" width="14.42578125" style="2" customWidth="1"/>
    <col min="3854" max="3855" width="15.140625" style="2" customWidth="1"/>
    <col min="3856" max="3857" width="11.42578125" style="2"/>
    <col min="3858" max="3858" width="24.85546875" style="2" customWidth="1"/>
    <col min="3859" max="3859" width="10.7109375" style="2" customWidth="1"/>
    <col min="3860" max="4098" width="11.42578125" style="2"/>
    <col min="4099" max="4099" width="59.7109375" style="2" customWidth="1"/>
    <col min="4100" max="4100" width="10.7109375" style="2" customWidth="1"/>
    <col min="4101" max="4102" width="11.7109375" style="2" customWidth="1"/>
    <col min="4103" max="4104" width="10.7109375" style="2" customWidth="1"/>
    <col min="4105" max="4105" width="6.140625" style="2" customWidth="1"/>
    <col min="4106" max="4109" width="14.42578125" style="2" customWidth="1"/>
    <col min="4110" max="4111" width="15.140625" style="2" customWidth="1"/>
    <col min="4112" max="4113" width="11.42578125" style="2"/>
    <col min="4114" max="4114" width="24.85546875" style="2" customWidth="1"/>
    <col min="4115" max="4115" width="10.7109375" style="2" customWidth="1"/>
    <col min="4116" max="4354" width="11.42578125" style="2"/>
    <col min="4355" max="4355" width="59.7109375" style="2" customWidth="1"/>
    <col min="4356" max="4356" width="10.7109375" style="2" customWidth="1"/>
    <col min="4357" max="4358" width="11.7109375" style="2" customWidth="1"/>
    <col min="4359" max="4360" width="10.7109375" style="2" customWidth="1"/>
    <col min="4361" max="4361" width="6.140625" style="2" customWidth="1"/>
    <col min="4362" max="4365" width="14.42578125" style="2" customWidth="1"/>
    <col min="4366" max="4367" width="15.140625" style="2" customWidth="1"/>
    <col min="4368" max="4369" width="11.42578125" style="2"/>
    <col min="4370" max="4370" width="24.85546875" style="2" customWidth="1"/>
    <col min="4371" max="4371" width="10.7109375" style="2" customWidth="1"/>
    <col min="4372" max="4610" width="11.42578125" style="2"/>
    <col min="4611" max="4611" width="59.7109375" style="2" customWidth="1"/>
    <col min="4612" max="4612" width="10.7109375" style="2" customWidth="1"/>
    <col min="4613" max="4614" width="11.7109375" style="2" customWidth="1"/>
    <col min="4615" max="4616" width="10.7109375" style="2" customWidth="1"/>
    <col min="4617" max="4617" width="6.140625" style="2" customWidth="1"/>
    <col min="4618" max="4621" width="14.42578125" style="2" customWidth="1"/>
    <col min="4622" max="4623" width="15.140625" style="2" customWidth="1"/>
    <col min="4624" max="4625" width="11.42578125" style="2"/>
    <col min="4626" max="4626" width="24.85546875" style="2" customWidth="1"/>
    <col min="4627" max="4627" width="10.7109375" style="2" customWidth="1"/>
    <col min="4628" max="4866" width="11.42578125" style="2"/>
    <col min="4867" max="4867" width="59.7109375" style="2" customWidth="1"/>
    <col min="4868" max="4868" width="10.7109375" style="2" customWidth="1"/>
    <col min="4869" max="4870" width="11.7109375" style="2" customWidth="1"/>
    <col min="4871" max="4872" width="10.7109375" style="2" customWidth="1"/>
    <col min="4873" max="4873" width="6.140625" style="2" customWidth="1"/>
    <col min="4874" max="4877" width="14.42578125" style="2" customWidth="1"/>
    <col min="4878" max="4879" width="15.140625" style="2" customWidth="1"/>
    <col min="4880" max="4881" width="11.42578125" style="2"/>
    <col min="4882" max="4882" width="24.85546875" style="2" customWidth="1"/>
    <col min="4883" max="4883" width="10.7109375" style="2" customWidth="1"/>
    <col min="4884" max="5122" width="11.42578125" style="2"/>
    <col min="5123" max="5123" width="59.7109375" style="2" customWidth="1"/>
    <col min="5124" max="5124" width="10.7109375" style="2" customWidth="1"/>
    <col min="5125" max="5126" width="11.7109375" style="2" customWidth="1"/>
    <col min="5127" max="5128" width="10.7109375" style="2" customWidth="1"/>
    <col min="5129" max="5129" width="6.140625" style="2" customWidth="1"/>
    <col min="5130" max="5133" width="14.42578125" style="2" customWidth="1"/>
    <col min="5134" max="5135" width="15.140625" style="2" customWidth="1"/>
    <col min="5136" max="5137" width="11.42578125" style="2"/>
    <col min="5138" max="5138" width="24.85546875" style="2" customWidth="1"/>
    <col min="5139" max="5139" width="10.7109375" style="2" customWidth="1"/>
    <col min="5140" max="5378" width="11.42578125" style="2"/>
    <col min="5379" max="5379" width="59.7109375" style="2" customWidth="1"/>
    <col min="5380" max="5380" width="10.7109375" style="2" customWidth="1"/>
    <col min="5381" max="5382" width="11.7109375" style="2" customWidth="1"/>
    <col min="5383" max="5384" width="10.7109375" style="2" customWidth="1"/>
    <col min="5385" max="5385" width="6.140625" style="2" customWidth="1"/>
    <col min="5386" max="5389" width="14.42578125" style="2" customWidth="1"/>
    <col min="5390" max="5391" width="15.140625" style="2" customWidth="1"/>
    <col min="5392" max="5393" width="11.42578125" style="2"/>
    <col min="5394" max="5394" width="24.85546875" style="2" customWidth="1"/>
    <col min="5395" max="5395" width="10.7109375" style="2" customWidth="1"/>
    <col min="5396" max="5634" width="11.42578125" style="2"/>
    <col min="5635" max="5635" width="59.7109375" style="2" customWidth="1"/>
    <col min="5636" max="5636" width="10.7109375" style="2" customWidth="1"/>
    <col min="5637" max="5638" width="11.7109375" style="2" customWidth="1"/>
    <col min="5639" max="5640" width="10.7109375" style="2" customWidth="1"/>
    <col min="5641" max="5641" width="6.140625" style="2" customWidth="1"/>
    <col min="5642" max="5645" width="14.42578125" style="2" customWidth="1"/>
    <col min="5646" max="5647" width="15.140625" style="2" customWidth="1"/>
    <col min="5648" max="5649" width="11.42578125" style="2"/>
    <col min="5650" max="5650" width="24.85546875" style="2" customWidth="1"/>
    <col min="5651" max="5651" width="10.7109375" style="2" customWidth="1"/>
    <col min="5652" max="5890" width="11.42578125" style="2"/>
    <col min="5891" max="5891" width="59.7109375" style="2" customWidth="1"/>
    <col min="5892" max="5892" width="10.7109375" style="2" customWidth="1"/>
    <col min="5893" max="5894" width="11.7109375" style="2" customWidth="1"/>
    <col min="5895" max="5896" width="10.7109375" style="2" customWidth="1"/>
    <col min="5897" max="5897" width="6.140625" style="2" customWidth="1"/>
    <col min="5898" max="5901" width="14.42578125" style="2" customWidth="1"/>
    <col min="5902" max="5903" width="15.140625" style="2" customWidth="1"/>
    <col min="5904" max="5905" width="11.42578125" style="2"/>
    <col min="5906" max="5906" width="24.85546875" style="2" customWidth="1"/>
    <col min="5907" max="5907" width="10.7109375" style="2" customWidth="1"/>
    <col min="5908" max="6146" width="11.42578125" style="2"/>
    <col min="6147" max="6147" width="59.7109375" style="2" customWidth="1"/>
    <col min="6148" max="6148" width="10.7109375" style="2" customWidth="1"/>
    <col min="6149" max="6150" width="11.7109375" style="2" customWidth="1"/>
    <col min="6151" max="6152" width="10.7109375" style="2" customWidth="1"/>
    <col min="6153" max="6153" width="6.140625" style="2" customWidth="1"/>
    <col min="6154" max="6157" width="14.42578125" style="2" customWidth="1"/>
    <col min="6158" max="6159" width="15.140625" style="2" customWidth="1"/>
    <col min="6160" max="6161" width="11.42578125" style="2"/>
    <col min="6162" max="6162" width="24.85546875" style="2" customWidth="1"/>
    <col min="6163" max="6163" width="10.7109375" style="2" customWidth="1"/>
    <col min="6164" max="6402" width="11.42578125" style="2"/>
    <col min="6403" max="6403" width="59.7109375" style="2" customWidth="1"/>
    <col min="6404" max="6404" width="10.7109375" style="2" customWidth="1"/>
    <col min="6405" max="6406" width="11.7109375" style="2" customWidth="1"/>
    <col min="6407" max="6408" width="10.7109375" style="2" customWidth="1"/>
    <col min="6409" max="6409" width="6.140625" style="2" customWidth="1"/>
    <col min="6410" max="6413" width="14.42578125" style="2" customWidth="1"/>
    <col min="6414" max="6415" width="15.140625" style="2" customWidth="1"/>
    <col min="6416" max="6417" width="11.42578125" style="2"/>
    <col min="6418" max="6418" width="24.85546875" style="2" customWidth="1"/>
    <col min="6419" max="6419" width="10.7109375" style="2" customWidth="1"/>
    <col min="6420" max="6658" width="11.42578125" style="2"/>
    <col min="6659" max="6659" width="59.7109375" style="2" customWidth="1"/>
    <col min="6660" max="6660" width="10.7109375" style="2" customWidth="1"/>
    <col min="6661" max="6662" width="11.7109375" style="2" customWidth="1"/>
    <col min="6663" max="6664" width="10.7109375" style="2" customWidth="1"/>
    <col min="6665" max="6665" width="6.140625" style="2" customWidth="1"/>
    <col min="6666" max="6669" width="14.42578125" style="2" customWidth="1"/>
    <col min="6670" max="6671" width="15.140625" style="2" customWidth="1"/>
    <col min="6672" max="6673" width="11.42578125" style="2"/>
    <col min="6674" max="6674" width="24.85546875" style="2" customWidth="1"/>
    <col min="6675" max="6675" width="10.7109375" style="2" customWidth="1"/>
    <col min="6676" max="6914" width="11.42578125" style="2"/>
    <col min="6915" max="6915" width="59.7109375" style="2" customWidth="1"/>
    <col min="6916" max="6916" width="10.7109375" style="2" customWidth="1"/>
    <col min="6917" max="6918" width="11.7109375" style="2" customWidth="1"/>
    <col min="6919" max="6920" width="10.7109375" style="2" customWidth="1"/>
    <col min="6921" max="6921" width="6.140625" style="2" customWidth="1"/>
    <col min="6922" max="6925" width="14.42578125" style="2" customWidth="1"/>
    <col min="6926" max="6927" width="15.140625" style="2" customWidth="1"/>
    <col min="6928" max="6929" width="11.42578125" style="2"/>
    <col min="6930" max="6930" width="24.85546875" style="2" customWidth="1"/>
    <col min="6931" max="6931" width="10.7109375" style="2" customWidth="1"/>
    <col min="6932" max="7170" width="11.42578125" style="2"/>
    <col min="7171" max="7171" width="59.7109375" style="2" customWidth="1"/>
    <col min="7172" max="7172" width="10.7109375" style="2" customWidth="1"/>
    <col min="7173" max="7174" width="11.7109375" style="2" customWidth="1"/>
    <col min="7175" max="7176" width="10.7109375" style="2" customWidth="1"/>
    <col min="7177" max="7177" width="6.140625" style="2" customWidth="1"/>
    <col min="7178" max="7181" width="14.42578125" style="2" customWidth="1"/>
    <col min="7182" max="7183" width="15.140625" style="2" customWidth="1"/>
    <col min="7184" max="7185" width="11.42578125" style="2"/>
    <col min="7186" max="7186" width="24.85546875" style="2" customWidth="1"/>
    <col min="7187" max="7187" width="10.7109375" style="2" customWidth="1"/>
    <col min="7188" max="7426" width="11.42578125" style="2"/>
    <col min="7427" max="7427" width="59.7109375" style="2" customWidth="1"/>
    <col min="7428" max="7428" width="10.7109375" style="2" customWidth="1"/>
    <col min="7429" max="7430" width="11.7109375" style="2" customWidth="1"/>
    <col min="7431" max="7432" width="10.7109375" style="2" customWidth="1"/>
    <col min="7433" max="7433" width="6.140625" style="2" customWidth="1"/>
    <col min="7434" max="7437" width="14.42578125" style="2" customWidth="1"/>
    <col min="7438" max="7439" width="15.140625" style="2" customWidth="1"/>
    <col min="7440" max="7441" width="11.42578125" style="2"/>
    <col min="7442" max="7442" width="24.85546875" style="2" customWidth="1"/>
    <col min="7443" max="7443" width="10.7109375" style="2" customWidth="1"/>
    <col min="7444" max="7682" width="11.42578125" style="2"/>
    <col min="7683" max="7683" width="59.7109375" style="2" customWidth="1"/>
    <col min="7684" max="7684" width="10.7109375" style="2" customWidth="1"/>
    <col min="7685" max="7686" width="11.7109375" style="2" customWidth="1"/>
    <col min="7687" max="7688" width="10.7109375" style="2" customWidth="1"/>
    <col min="7689" max="7689" width="6.140625" style="2" customWidth="1"/>
    <col min="7690" max="7693" width="14.42578125" style="2" customWidth="1"/>
    <col min="7694" max="7695" width="15.140625" style="2" customWidth="1"/>
    <col min="7696" max="7697" width="11.42578125" style="2"/>
    <col min="7698" max="7698" width="24.85546875" style="2" customWidth="1"/>
    <col min="7699" max="7699" width="10.7109375" style="2" customWidth="1"/>
    <col min="7700" max="7938" width="11.42578125" style="2"/>
    <col min="7939" max="7939" width="59.7109375" style="2" customWidth="1"/>
    <col min="7940" max="7940" width="10.7109375" style="2" customWidth="1"/>
    <col min="7941" max="7942" width="11.7109375" style="2" customWidth="1"/>
    <col min="7943" max="7944" width="10.7109375" style="2" customWidth="1"/>
    <col min="7945" max="7945" width="6.140625" style="2" customWidth="1"/>
    <col min="7946" max="7949" width="14.42578125" style="2" customWidth="1"/>
    <col min="7950" max="7951" width="15.140625" style="2" customWidth="1"/>
    <col min="7952" max="7953" width="11.42578125" style="2"/>
    <col min="7954" max="7954" width="24.85546875" style="2" customWidth="1"/>
    <col min="7955" max="7955" width="10.7109375" style="2" customWidth="1"/>
    <col min="7956" max="8194" width="11.42578125" style="2"/>
    <col min="8195" max="8195" width="59.7109375" style="2" customWidth="1"/>
    <col min="8196" max="8196" width="10.7109375" style="2" customWidth="1"/>
    <col min="8197" max="8198" width="11.7109375" style="2" customWidth="1"/>
    <col min="8199" max="8200" width="10.7109375" style="2" customWidth="1"/>
    <col min="8201" max="8201" width="6.140625" style="2" customWidth="1"/>
    <col min="8202" max="8205" width="14.42578125" style="2" customWidth="1"/>
    <col min="8206" max="8207" width="15.140625" style="2" customWidth="1"/>
    <col min="8208" max="8209" width="11.42578125" style="2"/>
    <col min="8210" max="8210" width="24.85546875" style="2" customWidth="1"/>
    <col min="8211" max="8211" width="10.7109375" style="2" customWidth="1"/>
    <col min="8212" max="8450" width="11.42578125" style="2"/>
    <col min="8451" max="8451" width="59.7109375" style="2" customWidth="1"/>
    <col min="8452" max="8452" width="10.7109375" style="2" customWidth="1"/>
    <col min="8453" max="8454" width="11.7109375" style="2" customWidth="1"/>
    <col min="8455" max="8456" width="10.7109375" style="2" customWidth="1"/>
    <col min="8457" max="8457" width="6.140625" style="2" customWidth="1"/>
    <col min="8458" max="8461" width="14.42578125" style="2" customWidth="1"/>
    <col min="8462" max="8463" width="15.140625" style="2" customWidth="1"/>
    <col min="8464" max="8465" width="11.42578125" style="2"/>
    <col min="8466" max="8466" width="24.85546875" style="2" customWidth="1"/>
    <col min="8467" max="8467" width="10.7109375" style="2" customWidth="1"/>
    <col min="8468" max="8706" width="11.42578125" style="2"/>
    <col min="8707" max="8707" width="59.7109375" style="2" customWidth="1"/>
    <col min="8708" max="8708" width="10.7109375" style="2" customWidth="1"/>
    <col min="8709" max="8710" width="11.7109375" style="2" customWidth="1"/>
    <col min="8711" max="8712" width="10.7109375" style="2" customWidth="1"/>
    <col min="8713" max="8713" width="6.140625" style="2" customWidth="1"/>
    <col min="8714" max="8717" width="14.42578125" style="2" customWidth="1"/>
    <col min="8718" max="8719" width="15.140625" style="2" customWidth="1"/>
    <col min="8720" max="8721" width="11.42578125" style="2"/>
    <col min="8722" max="8722" width="24.85546875" style="2" customWidth="1"/>
    <col min="8723" max="8723" width="10.7109375" style="2" customWidth="1"/>
    <col min="8724" max="8962" width="11.42578125" style="2"/>
    <col min="8963" max="8963" width="59.7109375" style="2" customWidth="1"/>
    <col min="8964" max="8964" width="10.7109375" style="2" customWidth="1"/>
    <col min="8965" max="8966" width="11.7109375" style="2" customWidth="1"/>
    <col min="8967" max="8968" width="10.7109375" style="2" customWidth="1"/>
    <col min="8969" max="8969" width="6.140625" style="2" customWidth="1"/>
    <col min="8970" max="8973" width="14.42578125" style="2" customWidth="1"/>
    <col min="8974" max="8975" width="15.140625" style="2" customWidth="1"/>
    <col min="8976" max="8977" width="11.42578125" style="2"/>
    <col min="8978" max="8978" width="24.85546875" style="2" customWidth="1"/>
    <col min="8979" max="8979" width="10.7109375" style="2" customWidth="1"/>
    <col min="8980" max="9218" width="11.42578125" style="2"/>
    <col min="9219" max="9219" width="59.7109375" style="2" customWidth="1"/>
    <col min="9220" max="9220" width="10.7109375" style="2" customWidth="1"/>
    <col min="9221" max="9222" width="11.7109375" style="2" customWidth="1"/>
    <col min="9223" max="9224" width="10.7109375" style="2" customWidth="1"/>
    <col min="9225" max="9225" width="6.140625" style="2" customWidth="1"/>
    <col min="9226" max="9229" width="14.42578125" style="2" customWidth="1"/>
    <col min="9230" max="9231" width="15.140625" style="2" customWidth="1"/>
    <col min="9232" max="9233" width="11.42578125" style="2"/>
    <col min="9234" max="9234" width="24.85546875" style="2" customWidth="1"/>
    <col min="9235" max="9235" width="10.7109375" style="2" customWidth="1"/>
    <col min="9236" max="9474" width="11.42578125" style="2"/>
    <col min="9475" max="9475" width="59.7109375" style="2" customWidth="1"/>
    <col min="9476" max="9476" width="10.7109375" style="2" customWidth="1"/>
    <col min="9477" max="9478" width="11.7109375" style="2" customWidth="1"/>
    <col min="9479" max="9480" width="10.7109375" style="2" customWidth="1"/>
    <col min="9481" max="9481" width="6.140625" style="2" customWidth="1"/>
    <col min="9482" max="9485" width="14.42578125" style="2" customWidth="1"/>
    <col min="9486" max="9487" width="15.140625" style="2" customWidth="1"/>
    <col min="9488" max="9489" width="11.42578125" style="2"/>
    <col min="9490" max="9490" width="24.85546875" style="2" customWidth="1"/>
    <col min="9491" max="9491" width="10.7109375" style="2" customWidth="1"/>
    <col min="9492" max="9730" width="11.42578125" style="2"/>
    <col min="9731" max="9731" width="59.7109375" style="2" customWidth="1"/>
    <col min="9732" max="9732" width="10.7109375" style="2" customWidth="1"/>
    <col min="9733" max="9734" width="11.7109375" style="2" customWidth="1"/>
    <col min="9735" max="9736" width="10.7109375" style="2" customWidth="1"/>
    <col min="9737" max="9737" width="6.140625" style="2" customWidth="1"/>
    <col min="9738" max="9741" width="14.42578125" style="2" customWidth="1"/>
    <col min="9742" max="9743" width="15.140625" style="2" customWidth="1"/>
    <col min="9744" max="9745" width="11.42578125" style="2"/>
    <col min="9746" max="9746" width="24.85546875" style="2" customWidth="1"/>
    <col min="9747" max="9747" width="10.7109375" style="2" customWidth="1"/>
    <col min="9748" max="9986" width="11.42578125" style="2"/>
    <col min="9987" max="9987" width="59.7109375" style="2" customWidth="1"/>
    <col min="9988" max="9988" width="10.7109375" style="2" customWidth="1"/>
    <col min="9989" max="9990" width="11.7109375" style="2" customWidth="1"/>
    <col min="9991" max="9992" width="10.7109375" style="2" customWidth="1"/>
    <col min="9993" max="9993" width="6.140625" style="2" customWidth="1"/>
    <col min="9994" max="9997" width="14.42578125" style="2" customWidth="1"/>
    <col min="9998" max="9999" width="15.140625" style="2" customWidth="1"/>
    <col min="10000" max="10001" width="11.42578125" style="2"/>
    <col min="10002" max="10002" width="24.85546875" style="2" customWidth="1"/>
    <col min="10003" max="10003" width="10.7109375" style="2" customWidth="1"/>
    <col min="10004" max="10242" width="11.42578125" style="2"/>
    <col min="10243" max="10243" width="59.7109375" style="2" customWidth="1"/>
    <col min="10244" max="10244" width="10.7109375" style="2" customWidth="1"/>
    <col min="10245" max="10246" width="11.7109375" style="2" customWidth="1"/>
    <col min="10247" max="10248" width="10.7109375" style="2" customWidth="1"/>
    <col min="10249" max="10249" width="6.140625" style="2" customWidth="1"/>
    <col min="10250" max="10253" width="14.42578125" style="2" customWidth="1"/>
    <col min="10254" max="10255" width="15.140625" style="2" customWidth="1"/>
    <col min="10256" max="10257" width="11.42578125" style="2"/>
    <col min="10258" max="10258" width="24.85546875" style="2" customWidth="1"/>
    <col min="10259" max="10259" width="10.7109375" style="2" customWidth="1"/>
    <col min="10260" max="10498" width="11.42578125" style="2"/>
    <col min="10499" max="10499" width="59.7109375" style="2" customWidth="1"/>
    <col min="10500" max="10500" width="10.7109375" style="2" customWidth="1"/>
    <col min="10501" max="10502" width="11.7109375" style="2" customWidth="1"/>
    <col min="10503" max="10504" width="10.7109375" style="2" customWidth="1"/>
    <col min="10505" max="10505" width="6.140625" style="2" customWidth="1"/>
    <col min="10506" max="10509" width="14.42578125" style="2" customWidth="1"/>
    <col min="10510" max="10511" width="15.140625" style="2" customWidth="1"/>
    <col min="10512" max="10513" width="11.42578125" style="2"/>
    <col min="10514" max="10514" width="24.85546875" style="2" customWidth="1"/>
    <col min="10515" max="10515" width="10.7109375" style="2" customWidth="1"/>
    <col min="10516" max="10754" width="11.42578125" style="2"/>
    <col min="10755" max="10755" width="59.7109375" style="2" customWidth="1"/>
    <col min="10756" max="10756" width="10.7109375" style="2" customWidth="1"/>
    <col min="10757" max="10758" width="11.7109375" style="2" customWidth="1"/>
    <col min="10759" max="10760" width="10.7109375" style="2" customWidth="1"/>
    <col min="10761" max="10761" width="6.140625" style="2" customWidth="1"/>
    <col min="10762" max="10765" width="14.42578125" style="2" customWidth="1"/>
    <col min="10766" max="10767" width="15.140625" style="2" customWidth="1"/>
    <col min="10768" max="10769" width="11.42578125" style="2"/>
    <col min="10770" max="10770" width="24.85546875" style="2" customWidth="1"/>
    <col min="10771" max="10771" width="10.7109375" style="2" customWidth="1"/>
    <col min="10772" max="11010" width="11.42578125" style="2"/>
    <col min="11011" max="11011" width="59.7109375" style="2" customWidth="1"/>
    <col min="11012" max="11012" width="10.7109375" style="2" customWidth="1"/>
    <col min="11013" max="11014" width="11.7109375" style="2" customWidth="1"/>
    <col min="11015" max="11016" width="10.7109375" style="2" customWidth="1"/>
    <col min="11017" max="11017" width="6.140625" style="2" customWidth="1"/>
    <col min="11018" max="11021" width="14.42578125" style="2" customWidth="1"/>
    <col min="11022" max="11023" width="15.140625" style="2" customWidth="1"/>
    <col min="11024" max="11025" width="11.42578125" style="2"/>
    <col min="11026" max="11026" width="24.85546875" style="2" customWidth="1"/>
    <col min="11027" max="11027" width="10.7109375" style="2" customWidth="1"/>
    <col min="11028" max="11266" width="11.42578125" style="2"/>
    <col min="11267" max="11267" width="59.7109375" style="2" customWidth="1"/>
    <col min="11268" max="11268" width="10.7109375" style="2" customWidth="1"/>
    <col min="11269" max="11270" width="11.7109375" style="2" customWidth="1"/>
    <col min="11271" max="11272" width="10.7109375" style="2" customWidth="1"/>
    <col min="11273" max="11273" width="6.140625" style="2" customWidth="1"/>
    <col min="11274" max="11277" width="14.42578125" style="2" customWidth="1"/>
    <col min="11278" max="11279" width="15.140625" style="2" customWidth="1"/>
    <col min="11280" max="11281" width="11.42578125" style="2"/>
    <col min="11282" max="11282" width="24.85546875" style="2" customWidth="1"/>
    <col min="11283" max="11283" width="10.7109375" style="2" customWidth="1"/>
    <col min="11284" max="11522" width="11.42578125" style="2"/>
    <col min="11523" max="11523" width="59.7109375" style="2" customWidth="1"/>
    <col min="11524" max="11524" width="10.7109375" style="2" customWidth="1"/>
    <col min="11525" max="11526" width="11.7109375" style="2" customWidth="1"/>
    <col min="11527" max="11528" width="10.7109375" style="2" customWidth="1"/>
    <col min="11529" max="11529" width="6.140625" style="2" customWidth="1"/>
    <col min="11530" max="11533" width="14.42578125" style="2" customWidth="1"/>
    <col min="11534" max="11535" width="15.140625" style="2" customWidth="1"/>
    <col min="11536" max="11537" width="11.42578125" style="2"/>
    <col min="11538" max="11538" width="24.85546875" style="2" customWidth="1"/>
    <col min="11539" max="11539" width="10.7109375" style="2" customWidth="1"/>
    <col min="11540" max="11778" width="11.42578125" style="2"/>
    <col min="11779" max="11779" width="59.7109375" style="2" customWidth="1"/>
    <col min="11780" max="11780" width="10.7109375" style="2" customWidth="1"/>
    <col min="11781" max="11782" width="11.7109375" style="2" customWidth="1"/>
    <col min="11783" max="11784" width="10.7109375" style="2" customWidth="1"/>
    <col min="11785" max="11785" width="6.140625" style="2" customWidth="1"/>
    <col min="11786" max="11789" width="14.42578125" style="2" customWidth="1"/>
    <col min="11790" max="11791" width="15.140625" style="2" customWidth="1"/>
    <col min="11792" max="11793" width="11.42578125" style="2"/>
    <col min="11794" max="11794" width="24.85546875" style="2" customWidth="1"/>
    <col min="11795" max="11795" width="10.7109375" style="2" customWidth="1"/>
    <col min="11796" max="12034" width="11.42578125" style="2"/>
    <col min="12035" max="12035" width="59.7109375" style="2" customWidth="1"/>
    <col min="12036" max="12036" width="10.7109375" style="2" customWidth="1"/>
    <col min="12037" max="12038" width="11.7109375" style="2" customWidth="1"/>
    <col min="12039" max="12040" width="10.7109375" style="2" customWidth="1"/>
    <col min="12041" max="12041" width="6.140625" style="2" customWidth="1"/>
    <col min="12042" max="12045" width="14.42578125" style="2" customWidth="1"/>
    <col min="12046" max="12047" width="15.140625" style="2" customWidth="1"/>
    <col min="12048" max="12049" width="11.42578125" style="2"/>
    <col min="12050" max="12050" width="24.85546875" style="2" customWidth="1"/>
    <col min="12051" max="12051" width="10.7109375" style="2" customWidth="1"/>
    <col min="12052" max="12290" width="11.42578125" style="2"/>
    <col min="12291" max="12291" width="59.7109375" style="2" customWidth="1"/>
    <col min="12292" max="12292" width="10.7109375" style="2" customWidth="1"/>
    <col min="12293" max="12294" width="11.7109375" style="2" customWidth="1"/>
    <col min="12295" max="12296" width="10.7109375" style="2" customWidth="1"/>
    <col min="12297" max="12297" width="6.140625" style="2" customWidth="1"/>
    <col min="12298" max="12301" width="14.42578125" style="2" customWidth="1"/>
    <col min="12302" max="12303" width="15.140625" style="2" customWidth="1"/>
    <col min="12304" max="12305" width="11.42578125" style="2"/>
    <col min="12306" max="12306" width="24.85546875" style="2" customWidth="1"/>
    <col min="12307" max="12307" width="10.7109375" style="2" customWidth="1"/>
    <col min="12308" max="12546" width="11.42578125" style="2"/>
    <col min="12547" max="12547" width="59.7109375" style="2" customWidth="1"/>
    <col min="12548" max="12548" width="10.7109375" style="2" customWidth="1"/>
    <col min="12549" max="12550" width="11.7109375" style="2" customWidth="1"/>
    <col min="12551" max="12552" width="10.7109375" style="2" customWidth="1"/>
    <col min="12553" max="12553" width="6.140625" style="2" customWidth="1"/>
    <col min="12554" max="12557" width="14.42578125" style="2" customWidth="1"/>
    <col min="12558" max="12559" width="15.140625" style="2" customWidth="1"/>
    <col min="12560" max="12561" width="11.42578125" style="2"/>
    <col min="12562" max="12562" width="24.85546875" style="2" customWidth="1"/>
    <col min="12563" max="12563" width="10.7109375" style="2" customWidth="1"/>
    <col min="12564" max="12802" width="11.42578125" style="2"/>
    <col min="12803" max="12803" width="59.7109375" style="2" customWidth="1"/>
    <col min="12804" max="12804" width="10.7109375" style="2" customWidth="1"/>
    <col min="12805" max="12806" width="11.7109375" style="2" customWidth="1"/>
    <col min="12807" max="12808" width="10.7109375" style="2" customWidth="1"/>
    <col min="12809" max="12809" width="6.140625" style="2" customWidth="1"/>
    <col min="12810" max="12813" width="14.42578125" style="2" customWidth="1"/>
    <col min="12814" max="12815" width="15.140625" style="2" customWidth="1"/>
    <col min="12816" max="12817" width="11.42578125" style="2"/>
    <col min="12818" max="12818" width="24.85546875" style="2" customWidth="1"/>
    <col min="12819" max="12819" width="10.7109375" style="2" customWidth="1"/>
    <col min="12820" max="13058" width="11.42578125" style="2"/>
    <col min="13059" max="13059" width="59.7109375" style="2" customWidth="1"/>
    <col min="13060" max="13060" width="10.7109375" style="2" customWidth="1"/>
    <col min="13061" max="13062" width="11.7109375" style="2" customWidth="1"/>
    <col min="13063" max="13064" width="10.7109375" style="2" customWidth="1"/>
    <col min="13065" max="13065" width="6.140625" style="2" customWidth="1"/>
    <col min="13066" max="13069" width="14.42578125" style="2" customWidth="1"/>
    <col min="13070" max="13071" width="15.140625" style="2" customWidth="1"/>
    <col min="13072" max="13073" width="11.42578125" style="2"/>
    <col min="13074" max="13074" width="24.85546875" style="2" customWidth="1"/>
    <col min="13075" max="13075" width="10.7109375" style="2" customWidth="1"/>
    <col min="13076" max="13314" width="11.42578125" style="2"/>
    <col min="13315" max="13315" width="59.7109375" style="2" customWidth="1"/>
    <col min="13316" max="13316" width="10.7109375" style="2" customWidth="1"/>
    <col min="13317" max="13318" width="11.7109375" style="2" customWidth="1"/>
    <col min="13319" max="13320" width="10.7109375" style="2" customWidth="1"/>
    <col min="13321" max="13321" width="6.140625" style="2" customWidth="1"/>
    <col min="13322" max="13325" width="14.42578125" style="2" customWidth="1"/>
    <col min="13326" max="13327" width="15.140625" style="2" customWidth="1"/>
    <col min="13328" max="13329" width="11.42578125" style="2"/>
    <col min="13330" max="13330" width="24.85546875" style="2" customWidth="1"/>
    <col min="13331" max="13331" width="10.7109375" style="2" customWidth="1"/>
    <col min="13332" max="13570" width="11.42578125" style="2"/>
    <col min="13571" max="13571" width="59.7109375" style="2" customWidth="1"/>
    <col min="13572" max="13572" width="10.7109375" style="2" customWidth="1"/>
    <col min="13573" max="13574" width="11.7109375" style="2" customWidth="1"/>
    <col min="13575" max="13576" width="10.7109375" style="2" customWidth="1"/>
    <col min="13577" max="13577" width="6.140625" style="2" customWidth="1"/>
    <col min="13578" max="13581" width="14.42578125" style="2" customWidth="1"/>
    <col min="13582" max="13583" width="15.140625" style="2" customWidth="1"/>
    <col min="13584" max="13585" width="11.42578125" style="2"/>
    <col min="13586" max="13586" width="24.85546875" style="2" customWidth="1"/>
    <col min="13587" max="13587" width="10.7109375" style="2" customWidth="1"/>
    <col min="13588" max="13826" width="11.42578125" style="2"/>
    <col min="13827" max="13827" width="59.7109375" style="2" customWidth="1"/>
    <col min="13828" max="13828" width="10.7109375" style="2" customWidth="1"/>
    <col min="13829" max="13830" width="11.7109375" style="2" customWidth="1"/>
    <col min="13831" max="13832" width="10.7109375" style="2" customWidth="1"/>
    <col min="13833" max="13833" width="6.140625" style="2" customWidth="1"/>
    <col min="13834" max="13837" width="14.42578125" style="2" customWidth="1"/>
    <col min="13838" max="13839" width="15.140625" style="2" customWidth="1"/>
    <col min="13840" max="13841" width="11.42578125" style="2"/>
    <col min="13842" max="13842" width="24.85546875" style="2" customWidth="1"/>
    <col min="13843" max="13843" width="10.7109375" style="2" customWidth="1"/>
    <col min="13844" max="14082" width="11.42578125" style="2"/>
    <col min="14083" max="14083" width="59.7109375" style="2" customWidth="1"/>
    <col min="14084" max="14084" width="10.7109375" style="2" customWidth="1"/>
    <col min="14085" max="14086" width="11.7109375" style="2" customWidth="1"/>
    <col min="14087" max="14088" width="10.7109375" style="2" customWidth="1"/>
    <col min="14089" max="14089" width="6.140625" style="2" customWidth="1"/>
    <col min="14090" max="14093" width="14.42578125" style="2" customWidth="1"/>
    <col min="14094" max="14095" width="15.140625" style="2" customWidth="1"/>
    <col min="14096" max="14097" width="11.42578125" style="2"/>
    <col min="14098" max="14098" width="24.85546875" style="2" customWidth="1"/>
    <col min="14099" max="14099" width="10.7109375" style="2" customWidth="1"/>
    <col min="14100" max="14338" width="11.42578125" style="2"/>
    <col min="14339" max="14339" width="59.7109375" style="2" customWidth="1"/>
    <col min="14340" max="14340" width="10.7109375" style="2" customWidth="1"/>
    <col min="14341" max="14342" width="11.7109375" style="2" customWidth="1"/>
    <col min="14343" max="14344" width="10.7109375" style="2" customWidth="1"/>
    <col min="14345" max="14345" width="6.140625" style="2" customWidth="1"/>
    <col min="14346" max="14349" width="14.42578125" style="2" customWidth="1"/>
    <col min="14350" max="14351" width="15.140625" style="2" customWidth="1"/>
    <col min="14352" max="14353" width="11.42578125" style="2"/>
    <col min="14354" max="14354" width="24.85546875" style="2" customWidth="1"/>
    <col min="14355" max="14355" width="10.7109375" style="2" customWidth="1"/>
    <col min="14356" max="14594" width="11.42578125" style="2"/>
    <col min="14595" max="14595" width="59.7109375" style="2" customWidth="1"/>
    <col min="14596" max="14596" width="10.7109375" style="2" customWidth="1"/>
    <col min="14597" max="14598" width="11.7109375" style="2" customWidth="1"/>
    <col min="14599" max="14600" width="10.7109375" style="2" customWidth="1"/>
    <col min="14601" max="14601" width="6.140625" style="2" customWidth="1"/>
    <col min="14602" max="14605" width="14.42578125" style="2" customWidth="1"/>
    <col min="14606" max="14607" width="15.140625" style="2" customWidth="1"/>
    <col min="14608" max="14609" width="11.42578125" style="2"/>
    <col min="14610" max="14610" width="24.85546875" style="2" customWidth="1"/>
    <col min="14611" max="14611" width="10.7109375" style="2" customWidth="1"/>
    <col min="14612" max="14850" width="11.42578125" style="2"/>
    <col min="14851" max="14851" width="59.7109375" style="2" customWidth="1"/>
    <col min="14852" max="14852" width="10.7109375" style="2" customWidth="1"/>
    <col min="14853" max="14854" width="11.7109375" style="2" customWidth="1"/>
    <col min="14855" max="14856" width="10.7109375" style="2" customWidth="1"/>
    <col min="14857" max="14857" width="6.140625" style="2" customWidth="1"/>
    <col min="14858" max="14861" width="14.42578125" style="2" customWidth="1"/>
    <col min="14862" max="14863" width="15.140625" style="2" customWidth="1"/>
    <col min="14864" max="14865" width="11.42578125" style="2"/>
    <col min="14866" max="14866" width="24.85546875" style="2" customWidth="1"/>
    <col min="14867" max="14867" width="10.7109375" style="2" customWidth="1"/>
    <col min="14868" max="15106" width="11.42578125" style="2"/>
    <col min="15107" max="15107" width="59.7109375" style="2" customWidth="1"/>
    <col min="15108" max="15108" width="10.7109375" style="2" customWidth="1"/>
    <col min="15109" max="15110" width="11.7109375" style="2" customWidth="1"/>
    <col min="15111" max="15112" width="10.7109375" style="2" customWidth="1"/>
    <col min="15113" max="15113" width="6.140625" style="2" customWidth="1"/>
    <col min="15114" max="15117" width="14.42578125" style="2" customWidth="1"/>
    <col min="15118" max="15119" width="15.140625" style="2" customWidth="1"/>
    <col min="15120" max="15121" width="11.42578125" style="2"/>
    <col min="15122" max="15122" width="24.85546875" style="2" customWidth="1"/>
    <col min="15123" max="15123" width="10.7109375" style="2" customWidth="1"/>
    <col min="15124" max="15362" width="11.42578125" style="2"/>
    <col min="15363" max="15363" width="59.7109375" style="2" customWidth="1"/>
    <col min="15364" max="15364" width="10.7109375" style="2" customWidth="1"/>
    <col min="15365" max="15366" width="11.7109375" style="2" customWidth="1"/>
    <col min="15367" max="15368" width="10.7109375" style="2" customWidth="1"/>
    <col min="15369" max="15369" width="6.140625" style="2" customWidth="1"/>
    <col min="15370" max="15373" width="14.42578125" style="2" customWidth="1"/>
    <col min="15374" max="15375" width="15.140625" style="2" customWidth="1"/>
    <col min="15376" max="15377" width="11.42578125" style="2"/>
    <col min="15378" max="15378" width="24.85546875" style="2" customWidth="1"/>
    <col min="15379" max="15379" width="10.7109375" style="2" customWidth="1"/>
    <col min="15380" max="15618" width="11.42578125" style="2"/>
    <col min="15619" max="15619" width="59.7109375" style="2" customWidth="1"/>
    <col min="15620" max="15620" width="10.7109375" style="2" customWidth="1"/>
    <col min="15621" max="15622" width="11.7109375" style="2" customWidth="1"/>
    <col min="15623" max="15624" width="10.7109375" style="2" customWidth="1"/>
    <col min="15625" max="15625" width="6.140625" style="2" customWidth="1"/>
    <col min="15626" max="15629" width="14.42578125" style="2" customWidth="1"/>
    <col min="15630" max="15631" width="15.140625" style="2" customWidth="1"/>
    <col min="15632" max="15633" width="11.42578125" style="2"/>
    <col min="15634" max="15634" width="24.85546875" style="2" customWidth="1"/>
    <col min="15635" max="15635" width="10.7109375" style="2" customWidth="1"/>
    <col min="15636" max="15874" width="11.42578125" style="2"/>
    <col min="15875" max="15875" width="59.7109375" style="2" customWidth="1"/>
    <col min="15876" max="15876" width="10.7109375" style="2" customWidth="1"/>
    <col min="15877" max="15878" width="11.7109375" style="2" customWidth="1"/>
    <col min="15879" max="15880" width="10.7109375" style="2" customWidth="1"/>
    <col min="15881" max="15881" width="6.140625" style="2" customWidth="1"/>
    <col min="15882" max="15885" width="14.42578125" style="2" customWidth="1"/>
    <col min="15886" max="15887" width="15.140625" style="2" customWidth="1"/>
    <col min="15888" max="15889" width="11.42578125" style="2"/>
    <col min="15890" max="15890" width="24.85546875" style="2" customWidth="1"/>
    <col min="15891" max="15891" width="10.7109375" style="2" customWidth="1"/>
    <col min="15892" max="16130" width="11.42578125" style="2"/>
    <col min="16131" max="16131" width="59.7109375" style="2" customWidth="1"/>
    <col min="16132" max="16132" width="10.7109375" style="2" customWidth="1"/>
    <col min="16133" max="16134" width="11.7109375" style="2" customWidth="1"/>
    <col min="16135" max="16136" width="10.7109375" style="2" customWidth="1"/>
    <col min="16137" max="16137" width="6.140625" style="2" customWidth="1"/>
    <col min="16138" max="16141" width="14.42578125" style="2" customWidth="1"/>
    <col min="16142" max="16143" width="15.140625" style="2" customWidth="1"/>
    <col min="16144" max="16145" width="11.42578125" style="2"/>
    <col min="16146" max="16146" width="24.85546875" style="2" customWidth="1"/>
    <col min="16147" max="16147" width="10.7109375" style="2" customWidth="1"/>
    <col min="16148" max="16384" width="11.42578125" style="2"/>
  </cols>
  <sheetData>
    <row r="1" spans="1:21" ht="26.25" x14ac:dyDescent="0.4">
      <c r="A1" s="75" t="s">
        <v>19</v>
      </c>
      <c r="B1" s="927"/>
      <c r="N1" s="953"/>
      <c r="O1" s="953" t="s">
        <v>413</v>
      </c>
    </row>
    <row r="2" spans="1:21" s="27" customFormat="1" ht="26.25" x14ac:dyDescent="0.4">
      <c r="A2" s="75" t="s">
        <v>20</v>
      </c>
      <c r="B2" s="927"/>
      <c r="G2" s="72"/>
      <c r="H2" s="28"/>
      <c r="I2" s="57"/>
      <c r="K2" s="29"/>
      <c r="N2" s="1014" t="s">
        <v>415</v>
      </c>
      <c r="O2" s="1093">
        <f>'ЛАЙТ Рязань'!V2</f>
        <v>4</v>
      </c>
      <c r="Q2" s="2"/>
      <c r="R2" s="2"/>
      <c r="S2" s="82"/>
      <c r="T2" s="2"/>
    </row>
    <row r="3" spans="1:21" s="27" customFormat="1" ht="60" customHeight="1" x14ac:dyDescent="0.35">
      <c r="A3" s="791"/>
      <c r="B3" s="928"/>
      <c r="H3" s="28"/>
      <c r="I3" s="57"/>
      <c r="K3" s="29"/>
      <c r="N3" s="1014" t="s">
        <v>416</v>
      </c>
      <c r="O3" s="1094">
        <f>'ЛАЙТ Рязань'!V3</f>
        <v>4</v>
      </c>
      <c r="Q3" s="2"/>
      <c r="R3" s="2"/>
      <c r="S3" s="82"/>
      <c r="T3" s="2"/>
    </row>
    <row r="4" spans="1:21" ht="18" customHeight="1" x14ac:dyDescent="0.25">
      <c r="B4" s="6"/>
      <c r="C4" s="6"/>
      <c r="D4" s="6"/>
      <c r="E4" s="6"/>
      <c r="F4" s="6"/>
      <c r="G4" s="6"/>
      <c r="H4" s="6"/>
      <c r="I4" s="6"/>
      <c r="J4" s="6"/>
      <c r="K4" s="6"/>
      <c r="L4" s="6"/>
      <c r="M4" s="6"/>
      <c r="N4" s="1096"/>
      <c r="P4" s="7"/>
    </row>
    <row r="5" spans="1:21" x14ac:dyDescent="0.25">
      <c r="A5" s="2" t="s">
        <v>618</v>
      </c>
      <c r="B5" s="925"/>
      <c r="C5" s="925"/>
      <c r="D5" s="925"/>
      <c r="E5" s="925"/>
      <c r="F5" s="925"/>
      <c r="G5" s="925"/>
      <c r="H5" s="925"/>
      <c r="I5" s="925"/>
      <c r="J5" s="925"/>
      <c r="K5" s="925"/>
      <c r="L5" s="925"/>
      <c r="M5" s="925"/>
      <c r="N5" s="1098" t="s">
        <v>412</v>
      </c>
      <c r="O5" s="1099">
        <f>IF($O$2&lt;4,INDEX('Доставка по областям'!$J$54:$J$57,O2)+INDEX('Доставка по областям'!$J$58:$J$61,$O$3),0)</f>
        <v>0</v>
      </c>
      <c r="P5" s="7"/>
    </row>
    <row r="6" spans="1:21" ht="18.75" thickBot="1" x14ac:dyDescent="0.3">
      <c r="A6" s="2" t="s">
        <v>709</v>
      </c>
      <c r="B6" s="929"/>
      <c r="C6" s="7"/>
      <c r="D6" s="7"/>
      <c r="E6" s="7"/>
      <c r="F6" s="7"/>
      <c r="G6" s="73"/>
      <c r="H6" s="67"/>
      <c r="I6" s="58"/>
      <c r="J6" s="7"/>
      <c r="K6" s="7"/>
      <c r="L6" s="1095">
        <f>INDEX('Доставка по областям'!$D$2:$D$90,'ЛАЙТ Рязань'!$Q$5,1)</f>
        <v>64</v>
      </c>
      <c r="M6" s="7"/>
      <c r="N6" s="953"/>
      <c r="O6" s="745" t="s">
        <v>414</v>
      </c>
      <c r="P6" s="7"/>
    </row>
    <row r="7" spans="1:21" ht="72.75" customHeight="1" x14ac:dyDescent="0.25">
      <c r="A7" s="1398" t="s">
        <v>0</v>
      </c>
      <c r="B7" s="1400" t="s">
        <v>281</v>
      </c>
      <c r="C7" s="1402" t="s">
        <v>1</v>
      </c>
      <c r="D7" s="1404" t="s">
        <v>2</v>
      </c>
      <c r="E7" s="1406" t="s">
        <v>3</v>
      </c>
      <c r="F7" s="1407"/>
      <c r="G7" s="1293" t="s">
        <v>36</v>
      </c>
      <c r="H7" s="1392" t="s">
        <v>619</v>
      </c>
      <c r="I7" s="1393"/>
      <c r="J7" s="1394" t="s">
        <v>44</v>
      </c>
      <c r="K7" s="1395"/>
      <c r="L7" s="1396" t="s">
        <v>4</v>
      </c>
      <c r="M7" s="1397"/>
      <c r="N7" s="953"/>
      <c r="O7" s="1101" t="str">
        <f>INDEX('Доставка по областям'!$J$2:$J$53,VLOOKUP('ТЕХНОРУФ КЛИН DDP'!A3,'Доставка по областям'!$A$2:$F$90,6,0))</f>
        <v>Рязанская</v>
      </c>
      <c r="P7" s="1410"/>
      <c r="Q7" s="1410"/>
    </row>
    <row r="8" spans="1:21" ht="38.25" customHeight="1" thickBot="1" x14ac:dyDescent="0.3">
      <c r="A8" s="1399"/>
      <c r="B8" s="1401"/>
      <c r="C8" s="1403"/>
      <c r="D8" s="1405"/>
      <c r="E8" s="1408"/>
      <c r="F8" s="1409"/>
      <c r="G8" s="1391"/>
      <c r="H8" s="930" t="s">
        <v>620</v>
      </c>
      <c r="I8" s="931" t="s">
        <v>18</v>
      </c>
      <c r="J8" s="932" t="s">
        <v>43</v>
      </c>
      <c r="K8" s="931" t="s">
        <v>42</v>
      </c>
      <c r="L8" s="933" t="s">
        <v>18</v>
      </c>
      <c r="M8" s="934" t="s">
        <v>621</v>
      </c>
      <c r="N8" s="1100" t="str">
        <f>INDEX('Доставка по областям'!$G$2:$G$90,'ЛАЙТ Рязань'!$Q$5)</f>
        <v>Завод 'ТЕХНО' г.Рязань</v>
      </c>
      <c r="O8" s="953"/>
      <c r="P8" s="1410"/>
      <c r="Q8" s="1410"/>
      <c r="R8" s="2"/>
      <c r="S8" s="82"/>
      <c r="T8" s="2"/>
    </row>
    <row r="9" spans="1:21" ht="24.95" customHeight="1" x14ac:dyDescent="0.25">
      <c r="A9" s="935" t="s">
        <v>622</v>
      </c>
      <c r="B9" s="936">
        <v>446980</v>
      </c>
      <c r="C9" s="9">
        <v>1200</v>
      </c>
      <c r="D9" s="937">
        <v>600</v>
      </c>
      <c r="E9" s="938">
        <v>30</v>
      </c>
      <c r="F9" s="11">
        <v>50</v>
      </c>
      <c r="G9" s="61" t="s">
        <v>46</v>
      </c>
      <c r="H9" s="45">
        <v>104</v>
      </c>
      <c r="I9" s="939">
        <v>2.9952000000000001</v>
      </c>
      <c r="J9" s="201">
        <v>65.894400000000005</v>
      </c>
      <c r="K9" s="180">
        <v>71.884799999999998</v>
      </c>
      <c r="L9" s="971" t="s">
        <v>417</v>
      </c>
      <c r="M9" s="940"/>
      <c r="N9" s="745" t="s">
        <v>759</v>
      </c>
      <c r="O9" s="953">
        <f>IF($O$2&lt;4,SUMIFS(РегСкидка!$C$3:$C$619,РегСкидка!$B$3:$B$619,N9,РегСкидка!$E$3:$E$619,$O$7)/100*IF(OR($O$3=1,$O$3=2,$O$3=3,$O$3=4),1,0),0)</f>
        <v>0</v>
      </c>
      <c r="Q9" s="4"/>
      <c r="R9" s="1237"/>
      <c r="S9" s="2"/>
      <c r="T9" s="2"/>
      <c r="U9" s="2"/>
    </row>
    <row r="10" spans="1:21" ht="24.95" customHeight="1" x14ac:dyDescent="0.25">
      <c r="A10" s="941" t="s">
        <v>623</v>
      </c>
      <c r="B10" s="942">
        <v>446986</v>
      </c>
      <c r="C10" s="12">
        <v>1200</v>
      </c>
      <c r="D10" s="943">
        <v>600</v>
      </c>
      <c r="E10" s="944">
        <v>50</v>
      </c>
      <c r="F10" s="14">
        <v>70</v>
      </c>
      <c r="G10" s="62" t="s">
        <v>46</v>
      </c>
      <c r="H10" s="47">
        <v>72</v>
      </c>
      <c r="I10" s="945">
        <v>3.1104000000000003</v>
      </c>
      <c r="J10" s="192">
        <v>68.42880000000001</v>
      </c>
      <c r="K10" s="182">
        <v>74.649600000000007</v>
      </c>
      <c r="L10" s="972" t="s">
        <v>417</v>
      </c>
      <c r="M10" s="946"/>
      <c r="N10" s="745" t="s">
        <v>759</v>
      </c>
      <c r="O10" s="953">
        <f>IF($O$2&lt;4,SUMIFS(РегСкидка!$C$3:$C$619,РегСкидка!$B$3:$B$619,N10,РегСкидка!$E$3:$E$619,$O$7)/100*IF(OR($O$3=1,$O$3=2,$O$3=3,$O$3=4),1,0),0)</f>
        <v>0</v>
      </c>
      <c r="Q10" s="4"/>
      <c r="R10" s="1237"/>
      <c r="S10" s="2"/>
      <c r="T10" s="2"/>
      <c r="U10" s="2"/>
    </row>
    <row r="11" spans="1:21" ht="24.95" customHeight="1" thickBot="1" x14ac:dyDescent="0.3">
      <c r="A11" s="947" t="s">
        <v>624</v>
      </c>
      <c r="B11" s="948">
        <v>447042</v>
      </c>
      <c r="C11" s="15">
        <v>1200</v>
      </c>
      <c r="D11" s="949">
        <v>600</v>
      </c>
      <c r="E11" s="950">
        <v>40</v>
      </c>
      <c r="F11" s="17">
        <v>40</v>
      </c>
      <c r="G11" s="63" t="s">
        <v>46</v>
      </c>
      <c r="H11" s="49">
        <v>108</v>
      </c>
      <c r="I11" s="951">
        <v>3.1103999999999998</v>
      </c>
      <c r="J11" s="195">
        <v>68.428799999999995</v>
      </c>
      <c r="K11" s="184">
        <v>74.649599999999992</v>
      </c>
      <c r="L11" s="648" t="s">
        <v>417</v>
      </c>
      <c r="M11" s="952"/>
      <c r="N11" s="745" t="s">
        <v>759</v>
      </c>
      <c r="O11" s="953">
        <f>IF($O$2&lt;4,SUMIFS(РегСкидка!$C$3:$C$619,РегСкидка!$B$3:$B$619,N11,РегСкидка!$E$3:$E$619,$O$7)/100*IF(OR($O$3=1,$O$3=2,$O$3=3,$O$3=4),1,0),0)</f>
        <v>0</v>
      </c>
      <c r="Q11" s="4"/>
      <c r="R11" s="1237"/>
      <c r="S11" s="2"/>
      <c r="T11" s="2"/>
      <c r="U11" s="2"/>
    </row>
    <row r="12" spans="1:21" ht="24.95" customHeight="1" x14ac:dyDescent="0.25">
      <c r="A12" s="935" t="s">
        <v>622</v>
      </c>
      <c r="B12" s="936">
        <v>433187</v>
      </c>
      <c r="C12" s="9">
        <v>1200</v>
      </c>
      <c r="D12" s="937">
        <v>1200</v>
      </c>
      <c r="E12" s="938">
        <v>30</v>
      </c>
      <c r="F12" s="11">
        <v>50</v>
      </c>
      <c r="G12" s="61" t="s">
        <v>46</v>
      </c>
      <c r="H12" s="45">
        <v>52</v>
      </c>
      <c r="I12" s="939">
        <v>2.9952000000000001</v>
      </c>
      <c r="J12" s="201">
        <v>65.894400000000005</v>
      </c>
      <c r="K12" s="180">
        <v>71.884799999999998</v>
      </c>
      <c r="L12" s="971">
        <v>5856</v>
      </c>
      <c r="M12" s="940">
        <f>L12*(C12*D12*((E12+F12)/2)/1000000000)</f>
        <v>337.30559999999997</v>
      </c>
      <c r="N12" s="745" t="s">
        <v>759</v>
      </c>
      <c r="O12" s="953">
        <f>IF($O$2&lt;4,SUMIFS(РегСкидка!$C$3:$C$619,РегСкидка!$B$3:$B$619,N12,РегСкидка!$E$3:$E$619,$O$7)/100*IF(OR($O$3=1,$O$3=2,$O$3=3,$O$3=4),1,0),0)</f>
        <v>0</v>
      </c>
      <c r="Q12" s="4"/>
      <c r="R12" s="1237"/>
      <c r="S12" s="2"/>
      <c r="T12" s="2"/>
      <c r="U12" s="2"/>
    </row>
    <row r="13" spans="1:21" ht="24.95" customHeight="1" x14ac:dyDescent="0.25">
      <c r="A13" s="941" t="s">
        <v>623</v>
      </c>
      <c r="B13" s="942">
        <v>433188</v>
      </c>
      <c r="C13" s="12">
        <v>1200</v>
      </c>
      <c r="D13" s="943">
        <v>1200</v>
      </c>
      <c r="E13" s="944">
        <v>50</v>
      </c>
      <c r="F13" s="14">
        <v>70</v>
      </c>
      <c r="G13" s="62" t="s">
        <v>46</v>
      </c>
      <c r="H13" s="47">
        <v>36</v>
      </c>
      <c r="I13" s="945">
        <v>3.1104000000000003</v>
      </c>
      <c r="J13" s="192">
        <v>68.42880000000001</v>
      </c>
      <c r="K13" s="182">
        <v>74.649600000000007</v>
      </c>
      <c r="L13" s="972">
        <v>5573</v>
      </c>
      <c r="M13" s="946">
        <f>L13*(C13*D13*((E13+F13)/2)/1000000000)</f>
        <v>481.50720000000001</v>
      </c>
      <c r="N13" s="745" t="s">
        <v>759</v>
      </c>
      <c r="O13" s="953">
        <f>IF($O$2&lt;4,SUMIFS(РегСкидка!$C$3:$C$619,РегСкидка!$B$3:$B$619,N13,РегСкидка!$E$3:$E$619,$O$7)/100*IF(OR($O$3=1,$O$3=2,$O$3=3,$O$3=4),1,0),0)</f>
        <v>0</v>
      </c>
      <c r="Q13" s="4"/>
      <c r="R13" s="1237"/>
      <c r="S13" s="2"/>
      <c r="T13" s="2"/>
      <c r="U13" s="2"/>
    </row>
    <row r="14" spans="1:21" ht="24.95" customHeight="1" thickBot="1" x14ac:dyDescent="0.3">
      <c r="A14" s="947" t="s">
        <v>624</v>
      </c>
      <c r="B14" s="948">
        <v>433190</v>
      </c>
      <c r="C14" s="15">
        <v>1200</v>
      </c>
      <c r="D14" s="949">
        <v>1200</v>
      </c>
      <c r="E14" s="950">
        <v>40</v>
      </c>
      <c r="F14" s="17">
        <v>40</v>
      </c>
      <c r="G14" s="63" t="s">
        <v>46</v>
      </c>
      <c r="H14" s="49">
        <v>54</v>
      </c>
      <c r="I14" s="951">
        <v>3.1103999999999998</v>
      </c>
      <c r="J14" s="195">
        <v>68.428799999999995</v>
      </c>
      <c r="K14" s="184">
        <v>74.649599999999992</v>
      </c>
      <c r="L14" s="122">
        <v>4961</v>
      </c>
      <c r="M14" s="952">
        <f>L14*(C14*D14*((E14+F14)/2)/1000000000)</f>
        <v>285.75360000000001</v>
      </c>
      <c r="N14" s="745" t="s">
        <v>759</v>
      </c>
      <c r="O14" s="953">
        <f>IF($O$2&lt;4,SUMIFS(РегСкидка!$C$3:$C$619,РегСкидка!$B$3:$B$619,N14,РегСкидка!$E$3:$E$619,$O$7)/100*IF(OR($O$3=1,$O$3=2,$O$3=3,$O$3=4),1,0),0)</f>
        <v>0</v>
      </c>
      <c r="Q14" s="4"/>
      <c r="R14" s="1237"/>
      <c r="S14" s="2"/>
      <c r="T14" s="2"/>
      <c r="U14" s="2"/>
    </row>
    <row r="15" spans="1:21" ht="24.95" customHeight="1" x14ac:dyDescent="0.25">
      <c r="A15" s="935" t="s">
        <v>625</v>
      </c>
      <c r="B15" s="936">
        <v>433191</v>
      </c>
      <c r="C15" s="9">
        <v>1200</v>
      </c>
      <c r="D15" s="937">
        <v>600</v>
      </c>
      <c r="E15" s="938">
        <v>30</v>
      </c>
      <c r="F15" s="11">
        <v>55</v>
      </c>
      <c r="G15" s="61" t="s">
        <v>46</v>
      </c>
      <c r="H15" s="45">
        <v>88</v>
      </c>
      <c r="I15" s="939">
        <v>2.6928000000000001</v>
      </c>
      <c r="J15" s="201">
        <v>59.241600000000005</v>
      </c>
      <c r="K15" s="180">
        <v>64.627200000000002</v>
      </c>
      <c r="L15" s="645">
        <v>5912</v>
      </c>
      <c r="M15" s="969">
        <f t="shared" ref="M15:M18" si="0">L15*(C15*D15*((E15+F15)/2)/1000000000)</f>
        <v>180.90719999999999</v>
      </c>
      <c r="N15" s="745" t="s">
        <v>759</v>
      </c>
      <c r="O15" s="953">
        <f>IF($O$2&lt;4,SUMIFS(РегСкидка!$C$3:$C$619,РегСкидка!$B$3:$B$619,N15,РегСкидка!$E$3:$E$619,$O$7)/100*IF(OR($O$3=1,$O$3=2,$O$3=3,$O$3=4),1,0),0)</f>
        <v>0</v>
      </c>
      <c r="Q15" s="4"/>
      <c r="R15" s="1237"/>
      <c r="S15" s="2"/>
      <c r="T15" s="2"/>
      <c r="U15" s="2"/>
    </row>
    <row r="16" spans="1:21" ht="24.95" customHeight="1" x14ac:dyDescent="0.25">
      <c r="A16" s="941" t="s">
        <v>626</v>
      </c>
      <c r="B16" s="942">
        <v>433192</v>
      </c>
      <c r="C16" s="12">
        <v>1200</v>
      </c>
      <c r="D16" s="943">
        <v>600</v>
      </c>
      <c r="E16" s="944">
        <v>55</v>
      </c>
      <c r="F16" s="14">
        <v>80</v>
      </c>
      <c r="G16" s="62" t="s">
        <v>46</v>
      </c>
      <c r="H16" s="47">
        <v>64</v>
      </c>
      <c r="I16" s="945">
        <v>3.1103999999999998</v>
      </c>
      <c r="J16" s="192">
        <v>68.428799999999995</v>
      </c>
      <c r="K16" s="182">
        <v>74.649599999999992</v>
      </c>
      <c r="L16" s="972">
        <v>5497</v>
      </c>
      <c r="M16" s="946">
        <f t="shared" si="0"/>
        <v>267.1542</v>
      </c>
      <c r="N16" s="745" t="s">
        <v>759</v>
      </c>
      <c r="O16" s="953">
        <f>IF($O$2&lt;4,SUMIFS(РегСкидка!$C$3:$C$619,РегСкидка!$B$3:$B$619,N16,РегСкидка!$E$3:$E$619,$O$7)/100*IF(OR($O$3=1,$O$3=2,$O$3=3,$O$3=4),1,0),0)</f>
        <v>0</v>
      </c>
      <c r="Q16" s="4"/>
      <c r="R16" s="1237"/>
      <c r="S16" s="2"/>
      <c r="T16" s="2"/>
      <c r="U16" s="2"/>
    </row>
    <row r="17" spans="1:21" ht="24.95" customHeight="1" thickBot="1" x14ac:dyDescent="0.3">
      <c r="A17" s="947" t="s">
        <v>627</v>
      </c>
      <c r="B17" s="948">
        <v>43393</v>
      </c>
      <c r="C17" s="15">
        <v>1200</v>
      </c>
      <c r="D17" s="949">
        <v>600</v>
      </c>
      <c r="E17" s="950">
        <v>50</v>
      </c>
      <c r="F17" s="17">
        <v>50</v>
      </c>
      <c r="G17" s="63" t="s">
        <v>46</v>
      </c>
      <c r="H17" s="306">
        <v>192</v>
      </c>
      <c r="I17" s="248">
        <v>6.9119999999999999</v>
      </c>
      <c r="J17" s="616">
        <v>76.031999999999996</v>
      </c>
      <c r="K17" s="129">
        <v>82.944000000000003</v>
      </c>
      <c r="L17" s="122">
        <v>4965</v>
      </c>
      <c r="M17" s="952">
        <f t="shared" si="0"/>
        <v>178.73999999999998</v>
      </c>
      <c r="N17" s="745" t="s">
        <v>759</v>
      </c>
      <c r="O17" s="953">
        <f>IF($O$2&lt;4,SUMIFS(РегСкидка!$C$3:$C$619,РегСкидка!$B$3:$B$619,N17,РегСкидка!$E$3:$E$619,$O$7)/100*IF(OR($O$3=1,$O$3=2,$O$3=3,$O$3=4),1,0),0)</f>
        <v>0</v>
      </c>
      <c r="Q17" s="4"/>
      <c r="R17" s="1237"/>
      <c r="S17" s="2"/>
      <c r="T17" s="2"/>
      <c r="U17" s="2"/>
    </row>
    <row r="18" spans="1:21" s="745" customFormat="1" ht="24.95" customHeight="1" thickBot="1" x14ac:dyDescent="0.3">
      <c r="A18" s="958" t="s">
        <v>628</v>
      </c>
      <c r="B18" s="959">
        <v>405797</v>
      </c>
      <c r="C18" s="960">
        <v>1200</v>
      </c>
      <c r="D18" s="961">
        <v>100</v>
      </c>
      <c r="E18" s="962">
        <v>0</v>
      </c>
      <c r="F18" s="963">
        <v>100</v>
      </c>
      <c r="G18" s="964" t="s">
        <v>46</v>
      </c>
      <c r="H18" s="965">
        <v>480</v>
      </c>
      <c r="I18" s="966">
        <v>2.88</v>
      </c>
      <c r="J18" s="967">
        <v>63.36</v>
      </c>
      <c r="K18" s="968">
        <v>69.12</v>
      </c>
      <c r="L18" s="1232">
        <v>9126</v>
      </c>
      <c r="M18" s="970">
        <f t="shared" si="0"/>
        <v>54.756</v>
      </c>
      <c r="N18" s="745" t="s">
        <v>759</v>
      </c>
      <c r="O18" s="953">
        <f>IF($O$2&lt;4,SUMIFS(РегСкидка!$C$3:$C$619,РегСкидка!$B$3:$B$619,N18,РегСкидка!$E$3:$E$619,$O$7)/100*IF(OR($O$3=1,$O$3=2,$O$3=3,$O$3=4),1,0),0)</f>
        <v>0</v>
      </c>
      <c r="P18" s="2"/>
      <c r="Q18" s="4"/>
      <c r="R18" s="1237"/>
      <c r="S18" s="2"/>
    </row>
    <row r="19" spans="1:21" ht="20.100000000000001" customHeight="1" x14ac:dyDescent="0.25">
      <c r="A19" s="18"/>
      <c r="B19" s="954"/>
      <c r="J19" s="595"/>
      <c r="K19" s="595"/>
    </row>
    <row r="20" spans="1:21" ht="18.75" customHeight="1" x14ac:dyDescent="0.25">
      <c r="A20" s="1" t="s">
        <v>7</v>
      </c>
      <c r="B20" s="91"/>
      <c r="C20" s="91"/>
      <c r="D20" s="91"/>
      <c r="G20" s="2"/>
      <c r="J20" s="1275" t="s">
        <v>21</v>
      </c>
      <c r="K20" s="1275"/>
      <c r="L20" s="1275"/>
      <c r="M20" s="1275"/>
      <c r="Q20" s="2"/>
      <c r="R20" s="2"/>
      <c r="S20" s="82"/>
      <c r="T20" s="2"/>
      <c r="U20" s="2"/>
    </row>
    <row r="21" spans="1:21" s="745" customFormat="1" ht="20.100000000000001" customHeight="1" x14ac:dyDescent="0.25">
      <c r="A21" s="471" t="s">
        <v>423</v>
      </c>
      <c r="B21" s="32"/>
      <c r="C21" s="32"/>
      <c r="D21" s="32"/>
      <c r="H21" s="746"/>
      <c r="I21" s="748"/>
      <c r="J21" s="1244" t="s">
        <v>40</v>
      </c>
      <c r="K21" s="1244"/>
      <c r="L21" s="1244"/>
      <c r="M21" s="1244"/>
      <c r="P21" s="2"/>
      <c r="Q21" s="2"/>
      <c r="S21" s="953"/>
    </row>
    <row r="22" spans="1:21" ht="20.100000000000001" customHeight="1" x14ac:dyDescent="0.25">
      <c r="A22" s="26" t="s">
        <v>438</v>
      </c>
      <c r="B22" s="2"/>
      <c r="G22" s="2"/>
      <c r="J22" s="1244" t="s">
        <v>39</v>
      </c>
      <c r="K22" s="1244"/>
      <c r="L22" s="1244"/>
      <c r="M22" s="1244"/>
      <c r="Q22" s="2"/>
      <c r="R22" s="2"/>
      <c r="S22" s="82"/>
      <c r="T22" s="2"/>
      <c r="U22" s="2"/>
    </row>
    <row r="23" spans="1:21" ht="20.100000000000001" customHeight="1" x14ac:dyDescent="0.25">
      <c r="A23" s="26" t="s">
        <v>24</v>
      </c>
      <c r="B23" s="2"/>
      <c r="G23" s="2"/>
      <c r="J23" s="1245" t="s">
        <v>37</v>
      </c>
      <c r="K23" s="1245"/>
      <c r="L23" s="1245"/>
      <c r="M23" s="1245"/>
      <c r="Q23" s="2"/>
      <c r="R23" s="2"/>
      <c r="S23" s="82"/>
      <c r="T23" s="2"/>
      <c r="U23" s="2"/>
    </row>
    <row r="24" spans="1:21" ht="20.100000000000001" customHeight="1" x14ac:dyDescent="0.25">
      <c r="A24" s="26" t="s">
        <v>52</v>
      </c>
      <c r="B24" s="2"/>
      <c r="G24" s="2"/>
      <c r="L24" s="1245"/>
      <c r="M24" s="1245"/>
      <c r="Q24" s="2"/>
      <c r="R24" s="2"/>
      <c r="S24" s="82"/>
      <c r="T24" s="2"/>
      <c r="U24" s="2"/>
    </row>
    <row r="25" spans="1:21" ht="20.100000000000001" customHeight="1" x14ac:dyDescent="0.25">
      <c r="A25" s="30" t="s">
        <v>541</v>
      </c>
      <c r="B25" s="2"/>
      <c r="G25" s="2"/>
      <c r="Q25" s="2"/>
      <c r="R25" s="2"/>
      <c r="S25" s="82"/>
      <c r="T25" s="2"/>
      <c r="U25" s="2"/>
    </row>
    <row r="26" spans="1:21" ht="20.100000000000001" customHeight="1" x14ac:dyDescent="0.25">
      <c r="A26" s="30" t="s">
        <v>542</v>
      </c>
      <c r="B26" s="2"/>
      <c r="G26" s="2"/>
      <c r="Q26" s="2"/>
      <c r="R26" s="2"/>
      <c r="S26" s="82"/>
      <c r="T26" s="2"/>
      <c r="U26" s="2"/>
    </row>
    <row r="27" spans="1:21" ht="20.100000000000001" customHeight="1" x14ac:dyDescent="0.25">
      <c r="A27" s="30" t="s">
        <v>559</v>
      </c>
      <c r="B27" s="2"/>
      <c r="G27" s="2"/>
      <c r="Q27" s="2"/>
      <c r="R27" s="2"/>
      <c r="S27" s="82"/>
      <c r="T27" s="2"/>
      <c r="U27" s="2"/>
    </row>
    <row r="28" spans="1:21" ht="20.100000000000001" customHeight="1" x14ac:dyDescent="0.25">
      <c r="A28" s="957"/>
      <c r="B28" s="956"/>
      <c r="G28" s="2"/>
      <c r="Q28" s="2"/>
      <c r="R28" s="2"/>
      <c r="S28" s="82"/>
      <c r="T28" s="2"/>
      <c r="U28" s="2"/>
    </row>
    <row r="29" spans="1:21" ht="20.100000000000001" customHeight="1" x14ac:dyDescent="0.25">
      <c r="A29" s="26"/>
      <c r="B29" s="955"/>
      <c r="G29" s="2"/>
      <c r="L29" s="1245"/>
      <c r="M29" s="1245"/>
      <c r="Q29" s="81"/>
      <c r="R29" s="2"/>
      <c r="S29" s="82"/>
      <c r="T29" s="2"/>
      <c r="U29" s="2"/>
    </row>
  </sheetData>
  <mergeCells count="17">
    <mergeCell ref="L24:M24"/>
    <mergeCell ref="L29:M29"/>
    <mergeCell ref="P7:P8"/>
    <mergeCell ref="Q7:Q8"/>
    <mergeCell ref="J21:M21"/>
    <mergeCell ref="J22:M22"/>
    <mergeCell ref="J23:M23"/>
    <mergeCell ref="J20:M20"/>
    <mergeCell ref="G7:G8"/>
    <mergeCell ref="H7:I7"/>
    <mergeCell ref="J7:K7"/>
    <mergeCell ref="L7:M7"/>
    <mergeCell ref="A7:A8"/>
    <mergeCell ref="B7:B8"/>
    <mergeCell ref="C7:C8"/>
    <mergeCell ref="D7:D8"/>
    <mergeCell ref="E7:F8"/>
  </mergeCells>
  <hyperlinks>
    <hyperlink ref="J23" r:id="rId1"/>
  </hyperlinks>
  <pageMargins left="0.7" right="0.7" top="0.75" bottom="0.75" header="0.3" footer="0.3"/>
  <pageSetup paperSize="9" scale="42" orientation="portrait" r:id="rId2"/>
  <drawing r:id="rId3"/>
  <legacyDrawing r:id="rId4"/>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F29"/>
  <sheetViews>
    <sheetView showGridLines="0" view="pageBreakPreview" topLeftCell="A16" zoomScale="70" zoomScaleNormal="70" zoomScaleSheetLayoutView="70" workbookViewId="0">
      <selection activeCell="J20" sqref="J20:M23"/>
    </sheetView>
  </sheetViews>
  <sheetFormatPr defaultColWidth="11.42578125" defaultRowHeight="18" x14ac:dyDescent="0.25"/>
  <cols>
    <col min="1" max="1" width="58.42578125" style="3" customWidth="1"/>
    <col min="2" max="2" width="12.140625" style="567" customWidth="1"/>
    <col min="3" max="4" width="11.7109375" style="2" customWidth="1"/>
    <col min="5" max="6" width="10.7109375" style="2" customWidth="1"/>
    <col min="7" max="7" width="6.140625" style="71" customWidth="1"/>
    <col min="8" max="8" width="14.42578125" style="4" customWidth="1"/>
    <col min="9" max="9" width="15.7109375" style="56" customWidth="1"/>
    <col min="10" max="10" width="15.7109375" style="2" customWidth="1"/>
    <col min="11" max="11" width="14.42578125" style="5" customWidth="1"/>
    <col min="12" max="13" width="15.140625" style="2" customWidth="1"/>
    <col min="14" max="14" width="12.42578125" style="2" customWidth="1"/>
    <col min="15" max="15" width="10.140625" style="79" customWidth="1"/>
    <col min="16" max="16" width="24.85546875" style="79" customWidth="1"/>
    <col min="17" max="17" width="15.85546875" style="86" customWidth="1"/>
    <col min="18" max="18" width="11.42578125" style="79" customWidth="1"/>
    <col min="19" max="19" width="11.42578125" style="1114" customWidth="1"/>
    <col min="20" max="20" width="12.28515625" style="745" customWidth="1"/>
    <col min="23" max="23" width="11.42578125" style="745"/>
    <col min="24" max="256" width="11.42578125" style="2"/>
    <col min="257" max="257" width="59.7109375" style="2" customWidth="1"/>
    <col min="258" max="258" width="10.7109375" style="2" customWidth="1"/>
    <col min="259" max="260" width="11.7109375" style="2" customWidth="1"/>
    <col min="261" max="262" width="10.7109375" style="2" customWidth="1"/>
    <col min="263" max="263" width="6.140625" style="2" customWidth="1"/>
    <col min="264" max="267" width="14.42578125" style="2" customWidth="1"/>
    <col min="268" max="269" width="15.140625" style="2" customWidth="1"/>
    <col min="270" max="271" width="11.42578125" style="2"/>
    <col min="272" max="272" width="24.85546875" style="2" customWidth="1"/>
    <col min="273" max="273" width="10.7109375" style="2" customWidth="1"/>
    <col min="274" max="512" width="11.42578125" style="2"/>
    <col min="513" max="513" width="59.7109375" style="2" customWidth="1"/>
    <col min="514" max="514" width="10.7109375" style="2" customWidth="1"/>
    <col min="515" max="516" width="11.7109375" style="2" customWidth="1"/>
    <col min="517" max="518" width="10.7109375" style="2" customWidth="1"/>
    <col min="519" max="519" width="6.140625" style="2" customWidth="1"/>
    <col min="520" max="523" width="14.42578125" style="2" customWidth="1"/>
    <col min="524" max="525" width="15.140625" style="2" customWidth="1"/>
    <col min="526" max="527" width="11.42578125" style="2"/>
    <col min="528" max="528" width="24.85546875" style="2" customWidth="1"/>
    <col min="529" max="529" width="10.7109375" style="2" customWidth="1"/>
    <col min="530" max="768" width="11.42578125" style="2"/>
    <col min="769" max="769" width="59.7109375" style="2" customWidth="1"/>
    <col min="770" max="770" width="10.7109375" style="2" customWidth="1"/>
    <col min="771" max="772" width="11.7109375" style="2" customWidth="1"/>
    <col min="773" max="774" width="10.7109375" style="2" customWidth="1"/>
    <col min="775" max="775" width="6.140625" style="2" customWidth="1"/>
    <col min="776" max="779" width="14.42578125" style="2" customWidth="1"/>
    <col min="780" max="781" width="15.140625" style="2" customWidth="1"/>
    <col min="782" max="783" width="11.42578125" style="2"/>
    <col min="784" max="784" width="24.85546875" style="2" customWidth="1"/>
    <col min="785" max="785" width="10.7109375" style="2" customWidth="1"/>
    <col min="786" max="1024" width="11.42578125" style="2"/>
    <col min="1025" max="1025" width="59.7109375" style="2" customWidth="1"/>
    <col min="1026" max="1026" width="10.7109375" style="2" customWidth="1"/>
    <col min="1027" max="1028" width="11.7109375" style="2" customWidth="1"/>
    <col min="1029" max="1030" width="10.7109375" style="2" customWidth="1"/>
    <col min="1031" max="1031" width="6.140625" style="2" customWidth="1"/>
    <col min="1032" max="1035" width="14.42578125" style="2" customWidth="1"/>
    <col min="1036" max="1037" width="15.140625" style="2" customWidth="1"/>
    <col min="1038" max="1039" width="11.42578125" style="2"/>
    <col min="1040" max="1040" width="24.85546875" style="2" customWidth="1"/>
    <col min="1041" max="1041" width="10.7109375" style="2" customWidth="1"/>
    <col min="1042" max="1280" width="11.42578125" style="2"/>
    <col min="1281" max="1281" width="59.7109375" style="2" customWidth="1"/>
    <col min="1282" max="1282" width="10.7109375" style="2" customWidth="1"/>
    <col min="1283" max="1284" width="11.7109375" style="2" customWidth="1"/>
    <col min="1285" max="1286" width="10.7109375" style="2" customWidth="1"/>
    <col min="1287" max="1287" width="6.140625" style="2" customWidth="1"/>
    <col min="1288" max="1291" width="14.42578125" style="2" customWidth="1"/>
    <col min="1292" max="1293" width="15.140625" style="2" customWidth="1"/>
    <col min="1294" max="1295" width="11.42578125" style="2"/>
    <col min="1296" max="1296" width="24.85546875" style="2" customWidth="1"/>
    <col min="1297" max="1297" width="10.7109375" style="2" customWidth="1"/>
    <col min="1298" max="1536" width="11.42578125" style="2"/>
    <col min="1537" max="1537" width="59.7109375" style="2" customWidth="1"/>
    <col min="1538" max="1538" width="10.7109375" style="2" customWidth="1"/>
    <col min="1539" max="1540" width="11.7109375" style="2" customWidth="1"/>
    <col min="1541" max="1542" width="10.7109375" style="2" customWidth="1"/>
    <col min="1543" max="1543" width="6.140625" style="2" customWidth="1"/>
    <col min="1544" max="1547" width="14.42578125" style="2" customWidth="1"/>
    <col min="1548" max="1549" width="15.140625" style="2" customWidth="1"/>
    <col min="1550" max="1551" width="11.42578125" style="2"/>
    <col min="1552" max="1552" width="24.85546875" style="2" customWidth="1"/>
    <col min="1553" max="1553" width="10.7109375" style="2" customWidth="1"/>
    <col min="1554" max="1792" width="11.42578125" style="2"/>
    <col min="1793" max="1793" width="59.7109375" style="2" customWidth="1"/>
    <col min="1794" max="1794" width="10.7109375" style="2" customWidth="1"/>
    <col min="1795" max="1796" width="11.7109375" style="2" customWidth="1"/>
    <col min="1797" max="1798" width="10.7109375" style="2" customWidth="1"/>
    <col min="1799" max="1799" width="6.140625" style="2" customWidth="1"/>
    <col min="1800" max="1803" width="14.42578125" style="2" customWidth="1"/>
    <col min="1804" max="1805" width="15.140625" style="2" customWidth="1"/>
    <col min="1806" max="1807" width="11.42578125" style="2"/>
    <col min="1808" max="1808" width="24.85546875" style="2" customWidth="1"/>
    <col min="1809" max="1809" width="10.7109375" style="2" customWidth="1"/>
    <col min="1810" max="2048" width="11.42578125" style="2"/>
    <col min="2049" max="2049" width="59.7109375" style="2" customWidth="1"/>
    <col min="2050" max="2050" width="10.7109375" style="2" customWidth="1"/>
    <col min="2051" max="2052" width="11.7109375" style="2" customWidth="1"/>
    <col min="2053" max="2054" width="10.7109375" style="2" customWidth="1"/>
    <col min="2055" max="2055" width="6.140625" style="2" customWidth="1"/>
    <col min="2056" max="2059" width="14.42578125" style="2" customWidth="1"/>
    <col min="2060" max="2061" width="15.140625" style="2" customWidth="1"/>
    <col min="2062" max="2063" width="11.42578125" style="2"/>
    <col min="2064" max="2064" width="24.85546875" style="2" customWidth="1"/>
    <col min="2065" max="2065" width="10.7109375" style="2" customWidth="1"/>
    <col min="2066" max="2304" width="11.42578125" style="2"/>
    <col min="2305" max="2305" width="59.7109375" style="2" customWidth="1"/>
    <col min="2306" max="2306" width="10.7109375" style="2" customWidth="1"/>
    <col min="2307" max="2308" width="11.7109375" style="2" customWidth="1"/>
    <col min="2309" max="2310" width="10.7109375" style="2" customWidth="1"/>
    <col min="2311" max="2311" width="6.140625" style="2" customWidth="1"/>
    <col min="2312" max="2315" width="14.42578125" style="2" customWidth="1"/>
    <col min="2316" max="2317" width="15.140625" style="2" customWidth="1"/>
    <col min="2318" max="2319" width="11.42578125" style="2"/>
    <col min="2320" max="2320" width="24.85546875" style="2" customWidth="1"/>
    <col min="2321" max="2321" width="10.7109375" style="2" customWidth="1"/>
    <col min="2322" max="2560" width="11.42578125" style="2"/>
    <col min="2561" max="2561" width="59.7109375" style="2" customWidth="1"/>
    <col min="2562" max="2562" width="10.7109375" style="2" customWidth="1"/>
    <col min="2563" max="2564" width="11.7109375" style="2" customWidth="1"/>
    <col min="2565" max="2566" width="10.7109375" style="2" customWidth="1"/>
    <col min="2567" max="2567" width="6.140625" style="2" customWidth="1"/>
    <col min="2568" max="2571" width="14.42578125" style="2" customWidth="1"/>
    <col min="2572" max="2573" width="15.140625" style="2" customWidth="1"/>
    <col min="2574" max="2575" width="11.42578125" style="2"/>
    <col min="2576" max="2576" width="24.85546875" style="2" customWidth="1"/>
    <col min="2577" max="2577" width="10.7109375" style="2" customWidth="1"/>
    <col min="2578" max="2816" width="11.42578125" style="2"/>
    <col min="2817" max="2817" width="59.7109375" style="2" customWidth="1"/>
    <col min="2818" max="2818" width="10.7109375" style="2" customWidth="1"/>
    <col min="2819" max="2820" width="11.7109375" style="2" customWidth="1"/>
    <col min="2821" max="2822" width="10.7109375" style="2" customWidth="1"/>
    <col min="2823" max="2823" width="6.140625" style="2" customWidth="1"/>
    <col min="2824" max="2827" width="14.42578125" style="2" customWidth="1"/>
    <col min="2828" max="2829" width="15.140625" style="2" customWidth="1"/>
    <col min="2830" max="2831" width="11.42578125" style="2"/>
    <col min="2832" max="2832" width="24.85546875" style="2" customWidth="1"/>
    <col min="2833" max="2833" width="10.7109375" style="2" customWidth="1"/>
    <col min="2834" max="3072" width="11.42578125" style="2"/>
    <col min="3073" max="3073" width="59.7109375" style="2" customWidth="1"/>
    <col min="3074" max="3074" width="10.7109375" style="2" customWidth="1"/>
    <col min="3075" max="3076" width="11.7109375" style="2" customWidth="1"/>
    <col min="3077" max="3078" width="10.7109375" style="2" customWidth="1"/>
    <col min="3079" max="3079" width="6.140625" style="2" customWidth="1"/>
    <col min="3080" max="3083" width="14.42578125" style="2" customWidth="1"/>
    <col min="3084" max="3085" width="15.140625" style="2" customWidth="1"/>
    <col min="3086" max="3087" width="11.42578125" style="2"/>
    <col min="3088" max="3088" width="24.85546875" style="2" customWidth="1"/>
    <col min="3089" max="3089" width="10.7109375" style="2" customWidth="1"/>
    <col min="3090" max="3328" width="11.42578125" style="2"/>
    <col min="3329" max="3329" width="59.7109375" style="2" customWidth="1"/>
    <col min="3330" max="3330" width="10.7109375" style="2" customWidth="1"/>
    <col min="3331" max="3332" width="11.7109375" style="2" customWidth="1"/>
    <col min="3333" max="3334" width="10.7109375" style="2" customWidth="1"/>
    <col min="3335" max="3335" width="6.140625" style="2" customWidth="1"/>
    <col min="3336" max="3339" width="14.42578125" style="2" customWidth="1"/>
    <col min="3340" max="3341" width="15.140625" style="2" customWidth="1"/>
    <col min="3342" max="3343" width="11.42578125" style="2"/>
    <col min="3344" max="3344" width="24.85546875" style="2" customWidth="1"/>
    <col min="3345" max="3345" width="10.7109375" style="2" customWidth="1"/>
    <col min="3346" max="3584" width="11.42578125" style="2"/>
    <col min="3585" max="3585" width="59.7109375" style="2" customWidth="1"/>
    <col min="3586" max="3586" width="10.7109375" style="2" customWidth="1"/>
    <col min="3587" max="3588" width="11.7109375" style="2" customWidth="1"/>
    <col min="3589" max="3590" width="10.7109375" style="2" customWidth="1"/>
    <col min="3591" max="3591" width="6.140625" style="2" customWidth="1"/>
    <col min="3592" max="3595" width="14.42578125" style="2" customWidth="1"/>
    <col min="3596" max="3597" width="15.140625" style="2" customWidth="1"/>
    <col min="3598" max="3599" width="11.42578125" style="2"/>
    <col min="3600" max="3600" width="24.85546875" style="2" customWidth="1"/>
    <col min="3601" max="3601" width="10.7109375" style="2" customWidth="1"/>
    <col min="3602" max="3840" width="11.42578125" style="2"/>
    <col min="3841" max="3841" width="59.7109375" style="2" customWidth="1"/>
    <col min="3842" max="3842" width="10.7109375" style="2" customWidth="1"/>
    <col min="3843" max="3844" width="11.7109375" style="2" customWidth="1"/>
    <col min="3845" max="3846" width="10.7109375" style="2" customWidth="1"/>
    <col min="3847" max="3847" width="6.140625" style="2" customWidth="1"/>
    <col min="3848" max="3851" width="14.42578125" style="2" customWidth="1"/>
    <col min="3852" max="3853" width="15.140625" style="2" customWidth="1"/>
    <col min="3854" max="3855" width="11.42578125" style="2"/>
    <col min="3856" max="3856" width="24.85546875" style="2" customWidth="1"/>
    <col min="3857" max="3857" width="10.7109375" style="2" customWidth="1"/>
    <col min="3858" max="4096" width="11.42578125" style="2"/>
    <col min="4097" max="4097" width="59.7109375" style="2" customWidth="1"/>
    <col min="4098" max="4098" width="10.7109375" style="2" customWidth="1"/>
    <col min="4099" max="4100" width="11.7109375" style="2" customWidth="1"/>
    <col min="4101" max="4102" width="10.7109375" style="2" customWidth="1"/>
    <col min="4103" max="4103" width="6.140625" style="2" customWidth="1"/>
    <col min="4104" max="4107" width="14.42578125" style="2" customWidth="1"/>
    <col min="4108" max="4109" width="15.140625" style="2" customWidth="1"/>
    <col min="4110" max="4111" width="11.42578125" style="2"/>
    <col min="4112" max="4112" width="24.85546875" style="2" customWidth="1"/>
    <col min="4113" max="4113" width="10.7109375" style="2" customWidth="1"/>
    <col min="4114" max="4352" width="11.42578125" style="2"/>
    <col min="4353" max="4353" width="59.7109375" style="2" customWidth="1"/>
    <col min="4354" max="4354" width="10.7109375" style="2" customWidth="1"/>
    <col min="4355" max="4356" width="11.7109375" style="2" customWidth="1"/>
    <col min="4357" max="4358" width="10.7109375" style="2" customWidth="1"/>
    <col min="4359" max="4359" width="6.140625" style="2" customWidth="1"/>
    <col min="4360" max="4363" width="14.42578125" style="2" customWidth="1"/>
    <col min="4364" max="4365" width="15.140625" style="2" customWidth="1"/>
    <col min="4366" max="4367" width="11.42578125" style="2"/>
    <col min="4368" max="4368" width="24.85546875" style="2" customWidth="1"/>
    <col min="4369" max="4369" width="10.7109375" style="2" customWidth="1"/>
    <col min="4370" max="4608" width="11.42578125" style="2"/>
    <col min="4609" max="4609" width="59.7109375" style="2" customWidth="1"/>
    <col min="4610" max="4610" width="10.7109375" style="2" customWidth="1"/>
    <col min="4611" max="4612" width="11.7109375" style="2" customWidth="1"/>
    <col min="4613" max="4614" width="10.7109375" style="2" customWidth="1"/>
    <col min="4615" max="4615" width="6.140625" style="2" customWidth="1"/>
    <col min="4616" max="4619" width="14.42578125" style="2" customWidth="1"/>
    <col min="4620" max="4621" width="15.140625" style="2" customWidth="1"/>
    <col min="4622" max="4623" width="11.42578125" style="2"/>
    <col min="4624" max="4624" width="24.85546875" style="2" customWidth="1"/>
    <col min="4625" max="4625" width="10.7109375" style="2" customWidth="1"/>
    <col min="4626" max="4864" width="11.42578125" style="2"/>
    <col min="4865" max="4865" width="59.7109375" style="2" customWidth="1"/>
    <col min="4866" max="4866" width="10.7109375" style="2" customWidth="1"/>
    <col min="4867" max="4868" width="11.7109375" style="2" customWidth="1"/>
    <col min="4869" max="4870" width="10.7109375" style="2" customWidth="1"/>
    <col min="4871" max="4871" width="6.140625" style="2" customWidth="1"/>
    <col min="4872" max="4875" width="14.42578125" style="2" customWidth="1"/>
    <col min="4876" max="4877" width="15.140625" style="2" customWidth="1"/>
    <col min="4878" max="4879" width="11.42578125" style="2"/>
    <col min="4880" max="4880" width="24.85546875" style="2" customWidth="1"/>
    <col min="4881" max="4881" width="10.7109375" style="2" customWidth="1"/>
    <col min="4882" max="5120" width="11.42578125" style="2"/>
    <col min="5121" max="5121" width="59.7109375" style="2" customWidth="1"/>
    <col min="5122" max="5122" width="10.7109375" style="2" customWidth="1"/>
    <col min="5123" max="5124" width="11.7109375" style="2" customWidth="1"/>
    <col min="5125" max="5126" width="10.7109375" style="2" customWidth="1"/>
    <col min="5127" max="5127" width="6.140625" style="2" customWidth="1"/>
    <col min="5128" max="5131" width="14.42578125" style="2" customWidth="1"/>
    <col min="5132" max="5133" width="15.140625" style="2" customWidth="1"/>
    <col min="5134" max="5135" width="11.42578125" style="2"/>
    <col min="5136" max="5136" width="24.85546875" style="2" customWidth="1"/>
    <col min="5137" max="5137" width="10.7109375" style="2" customWidth="1"/>
    <col min="5138" max="5376" width="11.42578125" style="2"/>
    <col min="5377" max="5377" width="59.7109375" style="2" customWidth="1"/>
    <col min="5378" max="5378" width="10.7109375" style="2" customWidth="1"/>
    <col min="5379" max="5380" width="11.7109375" style="2" customWidth="1"/>
    <col min="5381" max="5382" width="10.7109375" style="2" customWidth="1"/>
    <col min="5383" max="5383" width="6.140625" style="2" customWidth="1"/>
    <col min="5384" max="5387" width="14.42578125" style="2" customWidth="1"/>
    <col min="5388" max="5389" width="15.140625" style="2" customWidth="1"/>
    <col min="5390" max="5391" width="11.42578125" style="2"/>
    <col min="5392" max="5392" width="24.85546875" style="2" customWidth="1"/>
    <col min="5393" max="5393" width="10.7109375" style="2" customWidth="1"/>
    <col min="5394" max="5632" width="11.42578125" style="2"/>
    <col min="5633" max="5633" width="59.7109375" style="2" customWidth="1"/>
    <col min="5634" max="5634" width="10.7109375" style="2" customWidth="1"/>
    <col min="5635" max="5636" width="11.7109375" style="2" customWidth="1"/>
    <col min="5637" max="5638" width="10.7109375" style="2" customWidth="1"/>
    <col min="5639" max="5639" width="6.140625" style="2" customWidth="1"/>
    <col min="5640" max="5643" width="14.42578125" style="2" customWidth="1"/>
    <col min="5644" max="5645" width="15.140625" style="2" customWidth="1"/>
    <col min="5646" max="5647" width="11.42578125" style="2"/>
    <col min="5648" max="5648" width="24.85546875" style="2" customWidth="1"/>
    <col min="5649" max="5649" width="10.7109375" style="2" customWidth="1"/>
    <col min="5650" max="5888" width="11.42578125" style="2"/>
    <col min="5889" max="5889" width="59.7109375" style="2" customWidth="1"/>
    <col min="5890" max="5890" width="10.7109375" style="2" customWidth="1"/>
    <col min="5891" max="5892" width="11.7109375" style="2" customWidth="1"/>
    <col min="5893" max="5894" width="10.7109375" style="2" customWidth="1"/>
    <col min="5895" max="5895" width="6.140625" style="2" customWidth="1"/>
    <col min="5896" max="5899" width="14.42578125" style="2" customWidth="1"/>
    <col min="5900" max="5901" width="15.140625" style="2" customWidth="1"/>
    <col min="5902" max="5903" width="11.42578125" style="2"/>
    <col min="5904" max="5904" width="24.85546875" style="2" customWidth="1"/>
    <col min="5905" max="5905" width="10.7109375" style="2" customWidth="1"/>
    <col min="5906" max="6144" width="11.42578125" style="2"/>
    <col min="6145" max="6145" width="59.7109375" style="2" customWidth="1"/>
    <col min="6146" max="6146" width="10.7109375" style="2" customWidth="1"/>
    <col min="6147" max="6148" width="11.7109375" style="2" customWidth="1"/>
    <col min="6149" max="6150" width="10.7109375" style="2" customWidth="1"/>
    <col min="6151" max="6151" width="6.140625" style="2" customWidth="1"/>
    <col min="6152" max="6155" width="14.42578125" style="2" customWidth="1"/>
    <col min="6156" max="6157" width="15.140625" style="2" customWidth="1"/>
    <col min="6158" max="6159" width="11.42578125" style="2"/>
    <col min="6160" max="6160" width="24.85546875" style="2" customWidth="1"/>
    <col min="6161" max="6161" width="10.7109375" style="2" customWidth="1"/>
    <col min="6162" max="6400" width="11.42578125" style="2"/>
    <col min="6401" max="6401" width="59.7109375" style="2" customWidth="1"/>
    <col min="6402" max="6402" width="10.7109375" style="2" customWidth="1"/>
    <col min="6403" max="6404" width="11.7109375" style="2" customWidth="1"/>
    <col min="6405" max="6406" width="10.7109375" style="2" customWidth="1"/>
    <col min="6407" max="6407" width="6.140625" style="2" customWidth="1"/>
    <col min="6408" max="6411" width="14.42578125" style="2" customWidth="1"/>
    <col min="6412" max="6413" width="15.140625" style="2" customWidth="1"/>
    <col min="6414" max="6415" width="11.42578125" style="2"/>
    <col min="6416" max="6416" width="24.85546875" style="2" customWidth="1"/>
    <col min="6417" max="6417" width="10.7109375" style="2" customWidth="1"/>
    <col min="6418" max="6656" width="11.42578125" style="2"/>
    <col min="6657" max="6657" width="59.7109375" style="2" customWidth="1"/>
    <col min="6658" max="6658" width="10.7109375" style="2" customWidth="1"/>
    <col min="6659" max="6660" width="11.7109375" style="2" customWidth="1"/>
    <col min="6661" max="6662" width="10.7109375" style="2" customWidth="1"/>
    <col min="6663" max="6663" width="6.140625" style="2" customWidth="1"/>
    <col min="6664" max="6667" width="14.42578125" style="2" customWidth="1"/>
    <col min="6668" max="6669" width="15.140625" style="2" customWidth="1"/>
    <col min="6670" max="6671" width="11.42578125" style="2"/>
    <col min="6672" max="6672" width="24.85546875" style="2" customWidth="1"/>
    <col min="6673" max="6673" width="10.7109375" style="2" customWidth="1"/>
    <col min="6674" max="6912" width="11.42578125" style="2"/>
    <col min="6913" max="6913" width="59.7109375" style="2" customWidth="1"/>
    <col min="6914" max="6914" width="10.7109375" style="2" customWidth="1"/>
    <col min="6915" max="6916" width="11.7109375" style="2" customWidth="1"/>
    <col min="6917" max="6918" width="10.7109375" style="2" customWidth="1"/>
    <col min="6919" max="6919" width="6.140625" style="2" customWidth="1"/>
    <col min="6920" max="6923" width="14.42578125" style="2" customWidth="1"/>
    <col min="6924" max="6925" width="15.140625" style="2" customWidth="1"/>
    <col min="6926" max="6927" width="11.42578125" style="2"/>
    <col min="6928" max="6928" width="24.85546875" style="2" customWidth="1"/>
    <col min="6929" max="6929" width="10.7109375" style="2" customWidth="1"/>
    <col min="6930" max="7168" width="11.42578125" style="2"/>
    <col min="7169" max="7169" width="59.7109375" style="2" customWidth="1"/>
    <col min="7170" max="7170" width="10.7109375" style="2" customWidth="1"/>
    <col min="7171" max="7172" width="11.7109375" style="2" customWidth="1"/>
    <col min="7173" max="7174" width="10.7109375" style="2" customWidth="1"/>
    <col min="7175" max="7175" width="6.140625" style="2" customWidth="1"/>
    <col min="7176" max="7179" width="14.42578125" style="2" customWidth="1"/>
    <col min="7180" max="7181" width="15.140625" style="2" customWidth="1"/>
    <col min="7182" max="7183" width="11.42578125" style="2"/>
    <col min="7184" max="7184" width="24.85546875" style="2" customWidth="1"/>
    <col min="7185" max="7185" width="10.7109375" style="2" customWidth="1"/>
    <col min="7186" max="7424" width="11.42578125" style="2"/>
    <col min="7425" max="7425" width="59.7109375" style="2" customWidth="1"/>
    <col min="7426" max="7426" width="10.7109375" style="2" customWidth="1"/>
    <col min="7427" max="7428" width="11.7109375" style="2" customWidth="1"/>
    <col min="7429" max="7430" width="10.7109375" style="2" customWidth="1"/>
    <col min="7431" max="7431" width="6.140625" style="2" customWidth="1"/>
    <col min="7432" max="7435" width="14.42578125" style="2" customWidth="1"/>
    <col min="7436" max="7437" width="15.140625" style="2" customWidth="1"/>
    <col min="7438" max="7439" width="11.42578125" style="2"/>
    <col min="7440" max="7440" width="24.85546875" style="2" customWidth="1"/>
    <col min="7441" max="7441" width="10.7109375" style="2" customWidth="1"/>
    <col min="7442" max="7680" width="11.42578125" style="2"/>
    <col min="7681" max="7681" width="59.7109375" style="2" customWidth="1"/>
    <col min="7682" max="7682" width="10.7109375" style="2" customWidth="1"/>
    <col min="7683" max="7684" width="11.7109375" style="2" customWidth="1"/>
    <col min="7685" max="7686" width="10.7109375" style="2" customWidth="1"/>
    <col min="7687" max="7687" width="6.140625" style="2" customWidth="1"/>
    <col min="7688" max="7691" width="14.42578125" style="2" customWidth="1"/>
    <col min="7692" max="7693" width="15.140625" style="2" customWidth="1"/>
    <col min="7694" max="7695" width="11.42578125" style="2"/>
    <col min="7696" max="7696" width="24.85546875" style="2" customWidth="1"/>
    <col min="7697" max="7697" width="10.7109375" style="2" customWidth="1"/>
    <col min="7698" max="7936" width="11.42578125" style="2"/>
    <col min="7937" max="7937" width="59.7109375" style="2" customWidth="1"/>
    <col min="7938" max="7938" width="10.7109375" style="2" customWidth="1"/>
    <col min="7939" max="7940" width="11.7109375" style="2" customWidth="1"/>
    <col min="7941" max="7942" width="10.7109375" style="2" customWidth="1"/>
    <col min="7943" max="7943" width="6.140625" style="2" customWidth="1"/>
    <col min="7944" max="7947" width="14.42578125" style="2" customWidth="1"/>
    <col min="7948" max="7949" width="15.140625" style="2" customWidth="1"/>
    <col min="7950" max="7951" width="11.42578125" style="2"/>
    <col min="7952" max="7952" width="24.85546875" style="2" customWidth="1"/>
    <col min="7953" max="7953" width="10.7109375" style="2" customWidth="1"/>
    <col min="7954" max="8192" width="11.42578125" style="2"/>
    <col min="8193" max="8193" width="59.7109375" style="2" customWidth="1"/>
    <col min="8194" max="8194" width="10.7109375" style="2" customWidth="1"/>
    <col min="8195" max="8196" width="11.7109375" style="2" customWidth="1"/>
    <col min="8197" max="8198" width="10.7109375" style="2" customWidth="1"/>
    <col min="8199" max="8199" width="6.140625" style="2" customWidth="1"/>
    <col min="8200" max="8203" width="14.42578125" style="2" customWidth="1"/>
    <col min="8204" max="8205" width="15.140625" style="2" customWidth="1"/>
    <col min="8206" max="8207" width="11.42578125" style="2"/>
    <col min="8208" max="8208" width="24.85546875" style="2" customWidth="1"/>
    <col min="8209" max="8209" width="10.7109375" style="2" customWidth="1"/>
    <col min="8210" max="8448" width="11.42578125" style="2"/>
    <col min="8449" max="8449" width="59.7109375" style="2" customWidth="1"/>
    <col min="8450" max="8450" width="10.7109375" style="2" customWidth="1"/>
    <col min="8451" max="8452" width="11.7109375" style="2" customWidth="1"/>
    <col min="8453" max="8454" width="10.7109375" style="2" customWidth="1"/>
    <col min="8455" max="8455" width="6.140625" style="2" customWidth="1"/>
    <col min="8456" max="8459" width="14.42578125" style="2" customWidth="1"/>
    <col min="8460" max="8461" width="15.140625" style="2" customWidth="1"/>
    <col min="8462" max="8463" width="11.42578125" style="2"/>
    <col min="8464" max="8464" width="24.85546875" style="2" customWidth="1"/>
    <col min="8465" max="8465" width="10.7109375" style="2" customWidth="1"/>
    <col min="8466" max="8704" width="11.42578125" style="2"/>
    <col min="8705" max="8705" width="59.7109375" style="2" customWidth="1"/>
    <col min="8706" max="8706" width="10.7109375" style="2" customWidth="1"/>
    <col min="8707" max="8708" width="11.7109375" style="2" customWidth="1"/>
    <col min="8709" max="8710" width="10.7109375" style="2" customWidth="1"/>
    <col min="8711" max="8711" width="6.140625" style="2" customWidth="1"/>
    <col min="8712" max="8715" width="14.42578125" style="2" customWidth="1"/>
    <col min="8716" max="8717" width="15.140625" style="2" customWidth="1"/>
    <col min="8718" max="8719" width="11.42578125" style="2"/>
    <col min="8720" max="8720" width="24.85546875" style="2" customWidth="1"/>
    <col min="8721" max="8721" width="10.7109375" style="2" customWidth="1"/>
    <col min="8722" max="8960" width="11.42578125" style="2"/>
    <col min="8961" max="8961" width="59.7109375" style="2" customWidth="1"/>
    <col min="8962" max="8962" width="10.7109375" style="2" customWidth="1"/>
    <col min="8963" max="8964" width="11.7109375" style="2" customWidth="1"/>
    <col min="8965" max="8966" width="10.7109375" style="2" customWidth="1"/>
    <col min="8967" max="8967" width="6.140625" style="2" customWidth="1"/>
    <col min="8968" max="8971" width="14.42578125" style="2" customWidth="1"/>
    <col min="8972" max="8973" width="15.140625" style="2" customWidth="1"/>
    <col min="8974" max="8975" width="11.42578125" style="2"/>
    <col min="8976" max="8976" width="24.85546875" style="2" customWidth="1"/>
    <col min="8977" max="8977" width="10.7109375" style="2" customWidth="1"/>
    <col min="8978" max="9216" width="11.42578125" style="2"/>
    <col min="9217" max="9217" width="59.7109375" style="2" customWidth="1"/>
    <col min="9218" max="9218" width="10.7109375" style="2" customWidth="1"/>
    <col min="9219" max="9220" width="11.7109375" style="2" customWidth="1"/>
    <col min="9221" max="9222" width="10.7109375" style="2" customWidth="1"/>
    <col min="9223" max="9223" width="6.140625" style="2" customWidth="1"/>
    <col min="9224" max="9227" width="14.42578125" style="2" customWidth="1"/>
    <col min="9228" max="9229" width="15.140625" style="2" customWidth="1"/>
    <col min="9230" max="9231" width="11.42578125" style="2"/>
    <col min="9232" max="9232" width="24.85546875" style="2" customWidth="1"/>
    <col min="9233" max="9233" width="10.7109375" style="2" customWidth="1"/>
    <col min="9234" max="9472" width="11.42578125" style="2"/>
    <col min="9473" max="9473" width="59.7109375" style="2" customWidth="1"/>
    <col min="9474" max="9474" width="10.7109375" style="2" customWidth="1"/>
    <col min="9475" max="9476" width="11.7109375" style="2" customWidth="1"/>
    <col min="9477" max="9478" width="10.7109375" style="2" customWidth="1"/>
    <col min="9479" max="9479" width="6.140625" style="2" customWidth="1"/>
    <col min="9480" max="9483" width="14.42578125" style="2" customWidth="1"/>
    <col min="9484" max="9485" width="15.140625" style="2" customWidth="1"/>
    <col min="9486" max="9487" width="11.42578125" style="2"/>
    <col min="9488" max="9488" width="24.85546875" style="2" customWidth="1"/>
    <col min="9489" max="9489" width="10.7109375" style="2" customWidth="1"/>
    <col min="9490" max="9728" width="11.42578125" style="2"/>
    <col min="9729" max="9729" width="59.7109375" style="2" customWidth="1"/>
    <col min="9730" max="9730" width="10.7109375" style="2" customWidth="1"/>
    <col min="9731" max="9732" width="11.7109375" style="2" customWidth="1"/>
    <col min="9733" max="9734" width="10.7109375" style="2" customWidth="1"/>
    <col min="9735" max="9735" width="6.140625" style="2" customWidth="1"/>
    <col min="9736" max="9739" width="14.42578125" style="2" customWidth="1"/>
    <col min="9740" max="9741" width="15.140625" style="2" customWidth="1"/>
    <col min="9742" max="9743" width="11.42578125" style="2"/>
    <col min="9744" max="9744" width="24.85546875" style="2" customWidth="1"/>
    <col min="9745" max="9745" width="10.7109375" style="2" customWidth="1"/>
    <col min="9746" max="9984" width="11.42578125" style="2"/>
    <col min="9985" max="9985" width="59.7109375" style="2" customWidth="1"/>
    <col min="9986" max="9986" width="10.7109375" style="2" customWidth="1"/>
    <col min="9987" max="9988" width="11.7109375" style="2" customWidth="1"/>
    <col min="9989" max="9990" width="10.7109375" style="2" customWidth="1"/>
    <col min="9991" max="9991" width="6.140625" style="2" customWidth="1"/>
    <col min="9992" max="9995" width="14.42578125" style="2" customWidth="1"/>
    <col min="9996" max="9997" width="15.140625" style="2" customWidth="1"/>
    <col min="9998" max="9999" width="11.42578125" style="2"/>
    <col min="10000" max="10000" width="24.85546875" style="2" customWidth="1"/>
    <col min="10001" max="10001" width="10.7109375" style="2" customWidth="1"/>
    <col min="10002" max="10240" width="11.42578125" style="2"/>
    <col min="10241" max="10241" width="59.7109375" style="2" customWidth="1"/>
    <col min="10242" max="10242" width="10.7109375" style="2" customWidth="1"/>
    <col min="10243" max="10244" width="11.7109375" style="2" customWidth="1"/>
    <col min="10245" max="10246" width="10.7109375" style="2" customWidth="1"/>
    <col min="10247" max="10247" width="6.140625" style="2" customWidth="1"/>
    <col min="10248" max="10251" width="14.42578125" style="2" customWidth="1"/>
    <col min="10252" max="10253" width="15.140625" style="2" customWidth="1"/>
    <col min="10254" max="10255" width="11.42578125" style="2"/>
    <col min="10256" max="10256" width="24.85546875" style="2" customWidth="1"/>
    <col min="10257" max="10257" width="10.7109375" style="2" customWidth="1"/>
    <col min="10258" max="10496" width="11.42578125" style="2"/>
    <col min="10497" max="10497" width="59.7109375" style="2" customWidth="1"/>
    <col min="10498" max="10498" width="10.7109375" style="2" customWidth="1"/>
    <col min="10499" max="10500" width="11.7109375" style="2" customWidth="1"/>
    <col min="10501" max="10502" width="10.7109375" style="2" customWidth="1"/>
    <col min="10503" max="10503" width="6.140625" style="2" customWidth="1"/>
    <col min="10504" max="10507" width="14.42578125" style="2" customWidth="1"/>
    <col min="10508" max="10509" width="15.140625" style="2" customWidth="1"/>
    <col min="10510" max="10511" width="11.42578125" style="2"/>
    <col min="10512" max="10512" width="24.85546875" style="2" customWidth="1"/>
    <col min="10513" max="10513" width="10.7109375" style="2" customWidth="1"/>
    <col min="10514" max="10752" width="11.42578125" style="2"/>
    <col min="10753" max="10753" width="59.7109375" style="2" customWidth="1"/>
    <col min="10754" max="10754" width="10.7109375" style="2" customWidth="1"/>
    <col min="10755" max="10756" width="11.7109375" style="2" customWidth="1"/>
    <col min="10757" max="10758" width="10.7109375" style="2" customWidth="1"/>
    <col min="10759" max="10759" width="6.140625" style="2" customWidth="1"/>
    <col min="10760" max="10763" width="14.42578125" style="2" customWidth="1"/>
    <col min="10764" max="10765" width="15.140625" style="2" customWidth="1"/>
    <col min="10766" max="10767" width="11.42578125" style="2"/>
    <col min="10768" max="10768" width="24.85546875" style="2" customWidth="1"/>
    <col min="10769" max="10769" width="10.7109375" style="2" customWidth="1"/>
    <col min="10770" max="11008" width="11.42578125" style="2"/>
    <col min="11009" max="11009" width="59.7109375" style="2" customWidth="1"/>
    <col min="11010" max="11010" width="10.7109375" style="2" customWidth="1"/>
    <col min="11011" max="11012" width="11.7109375" style="2" customWidth="1"/>
    <col min="11013" max="11014" width="10.7109375" style="2" customWidth="1"/>
    <col min="11015" max="11015" width="6.140625" style="2" customWidth="1"/>
    <col min="11016" max="11019" width="14.42578125" style="2" customWidth="1"/>
    <col min="11020" max="11021" width="15.140625" style="2" customWidth="1"/>
    <col min="11022" max="11023" width="11.42578125" style="2"/>
    <col min="11024" max="11024" width="24.85546875" style="2" customWidth="1"/>
    <col min="11025" max="11025" width="10.7109375" style="2" customWidth="1"/>
    <col min="11026" max="11264" width="11.42578125" style="2"/>
    <col min="11265" max="11265" width="59.7109375" style="2" customWidth="1"/>
    <col min="11266" max="11266" width="10.7109375" style="2" customWidth="1"/>
    <col min="11267" max="11268" width="11.7109375" style="2" customWidth="1"/>
    <col min="11269" max="11270" width="10.7109375" style="2" customWidth="1"/>
    <col min="11271" max="11271" width="6.140625" style="2" customWidth="1"/>
    <col min="11272" max="11275" width="14.42578125" style="2" customWidth="1"/>
    <col min="11276" max="11277" width="15.140625" style="2" customWidth="1"/>
    <col min="11278" max="11279" width="11.42578125" style="2"/>
    <col min="11280" max="11280" width="24.85546875" style="2" customWidth="1"/>
    <col min="11281" max="11281" width="10.7109375" style="2" customWidth="1"/>
    <col min="11282" max="11520" width="11.42578125" style="2"/>
    <col min="11521" max="11521" width="59.7109375" style="2" customWidth="1"/>
    <col min="11522" max="11522" width="10.7109375" style="2" customWidth="1"/>
    <col min="11523" max="11524" width="11.7109375" style="2" customWidth="1"/>
    <col min="11525" max="11526" width="10.7109375" style="2" customWidth="1"/>
    <col min="11527" max="11527" width="6.140625" style="2" customWidth="1"/>
    <col min="11528" max="11531" width="14.42578125" style="2" customWidth="1"/>
    <col min="11532" max="11533" width="15.140625" style="2" customWidth="1"/>
    <col min="11534" max="11535" width="11.42578125" style="2"/>
    <col min="11536" max="11536" width="24.85546875" style="2" customWidth="1"/>
    <col min="11537" max="11537" width="10.7109375" style="2" customWidth="1"/>
    <col min="11538" max="11776" width="11.42578125" style="2"/>
    <col min="11777" max="11777" width="59.7109375" style="2" customWidth="1"/>
    <col min="11778" max="11778" width="10.7109375" style="2" customWidth="1"/>
    <col min="11779" max="11780" width="11.7109375" style="2" customWidth="1"/>
    <col min="11781" max="11782" width="10.7109375" style="2" customWidth="1"/>
    <col min="11783" max="11783" width="6.140625" style="2" customWidth="1"/>
    <col min="11784" max="11787" width="14.42578125" style="2" customWidth="1"/>
    <col min="11788" max="11789" width="15.140625" style="2" customWidth="1"/>
    <col min="11790" max="11791" width="11.42578125" style="2"/>
    <col min="11792" max="11792" width="24.85546875" style="2" customWidth="1"/>
    <col min="11793" max="11793" width="10.7109375" style="2" customWidth="1"/>
    <col min="11794" max="12032" width="11.42578125" style="2"/>
    <col min="12033" max="12033" width="59.7109375" style="2" customWidth="1"/>
    <col min="12034" max="12034" width="10.7109375" style="2" customWidth="1"/>
    <col min="12035" max="12036" width="11.7109375" style="2" customWidth="1"/>
    <col min="12037" max="12038" width="10.7109375" style="2" customWidth="1"/>
    <col min="12039" max="12039" width="6.140625" style="2" customWidth="1"/>
    <col min="12040" max="12043" width="14.42578125" style="2" customWidth="1"/>
    <col min="12044" max="12045" width="15.140625" style="2" customWidth="1"/>
    <col min="12046" max="12047" width="11.42578125" style="2"/>
    <col min="12048" max="12048" width="24.85546875" style="2" customWidth="1"/>
    <col min="12049" max="12049" width="10.7109375" style="2" customWidth="1"/>
    <col min="12050" max="12288" width="11.42578125" style="2"/>
    <col min="12289" max="12289" width="59.7109375" style="2" customWidth="1"/>
    <col min="12290" max="12290" width="10.7109375" style="2" customWidth="1"/>
    <col min="12291" max="12292" width="11.7109375" style="2" customWidth="1"/>
    <col min="12293" max="12294" width="10.7109375" style="2" customWidth="1"/>
    <col min="12295" max="12295" width="6.140625" style="2" customWidth="1"/>
    <col min="12296" max="12299" width="14.42578125" style="2" customWidth="1"/>
    <col min="12300" max="12301" width="15.140625" style="2" customWidth="1"/>
    <col min="12302" max="12303" width="11.42578125" style="2"/>
    <col min="12304" max="12304" width="24.85546875" style="2" customWidth="1"/>
    <col min="12305" max="12305" width="10.7109375" style="2" customWidth="1"/>
    <col min="12306" max="12544" width="11.42578125" style="2"/>
    <col min="12545" max="12545" width="59.7109375" style="2" customWidth="1"/>
    <col min="12546" max="12546" width="10.7109375" style="2" customWidth="1"/>
    <col min="12547" max="12548" width="11.7109375" style="2" customWidth="1"/>
    <col min="12549" max="12550" width="10.7109375" style="2" customWidth="1"/>
    <col min="12551" max="12551" width="6.140625" style="2" customWidth="1"/>
    <col min="12552" max="12555" width="14.42578125" style="2" customWidth="1"/>
    <col min="12556" max="12557" width="15.140625" style="2" customWidth="1"/>
    <col min="12558" max="12559" width="11.42578125" style="2"/>
    <col min="12560" max="12560" width="24.85546875" style="2" customWidth="1"/>
    <col min="12561" max="12561" width="10.7109375" style="2" customWidth="1"/>
    <col min="12562" max="12800" width="11.42578125" style="2"/>
    <col min="12801" max="12801" width="59.7109375" style="2" customWidth="1"/>
    <col min="12802" max="12802" width="10.7109375" style="2" customWidth="1"/>
    <col min="12803" max="12804" width="11.7109375" style="2" customWidth="1"/>
    <col min="12805" max="12806" width="10.7109375" style="2" customWidth="1"/>
    <col min="12807" max="12807" width="6.140625" style="2" customWidth="1"/>
    <col min="12808" max="12811" width="14.42578125" style="2" customWidth="1"/>
    <col min="12812" max="12813" width="15.140625" style="2" customWidth="1"/>
    <col min="12814" max="12815" width="11.42578125" style="2"/>
    <col min="12816" max="12816" width="24.85546875" style="2" customWidth="1"/>
    <col min="12817" max="12817" width="10.7109375" style="2" customWidth="1"/>
    <col min="12818" max="13056" width="11.42578125" style="2"/>
    <col min="13057" max="13057" width="59.7109375" style="2" customWidth="1"/>
    <col min="13058" max="13058" width="10.7109375" style="2" customWidth="1"/>
    <col min="13059" max="13060" width="11.7109375" style="2" customWidth="1"/>
    <col min="13061" max="13062" width="10.7109375" style="2" customWidth="1"/>
    <col min="13063" max="13063" width="6.140625" style="2" customWidth="1"/>
    <col min="13064" max="13067" width="14.42578125" style="2" customWidth="1"/>
    <col min="13068" max="13069" width="15.140625" style="2" customWidth="1"/>
    <col min="13070" max="13071" width="11.42578125" style="2"/>
    <col min="13072" max="13072" width="24.85546875" style="2" customWidth="1"/>
    <col min="13073" max="13073" width="10.7109375" style="2" customWidth="1"/>
    <col min="13074" max="13312" width="11.42578125" style="2"/>
    <col min="13313" max="13313" width="59.7109375" style="2" customWidth="1"/>
    <col min="13314" max="13314" width="10.7109375" style="2" customWidth="1"/>
    <col min="13315" max="13316" width="11.7109375" style="2" customWidth="1"/>
    <col min="13317" max="13318" width="10.7109375" style="2" customWidth="1"/>
    <col min="13319" max="13319" width="6.140625" style="2" customWidth="1"/>
    <col min="13320" max="13323" width="14.42578125" style="2" customWidth="1"/>
    <col min="13324" max="13325" width="15.140625" style="2" customWidth="1"/>
    <col min="13326" max="13327" width="11.42578125" style="2"/>
    <col min="13328" max="13328" width="24.85546875" style="2" customWidth="1"/>
    <col min="13329" max="13329" width="10.7109375" style="2" customWidth="1"/>
    <col min="13330" max="13568" width="11.42578125" style="2"/>
    <col min="13569" max="13569" width="59.7109375" style="2" customWidth="1"/>
    <col min="13570" max="13570" width="10.7109375" style="2" customWidth="1"/>
    <col min="13571" max="13572" width="11.7109375" style="2" customWidth="1"/>
    <col min="13573" max="13574" width="10.7109375" style="2" customWidth="1"/>
    <col min="13575" max="13575" width="6.140625" style="2" customWidth="1"/>
    <col min="13576" max="13579" width="14.42578125" style="2" customWidth="1"/>
    <col min="13580" max="13581" width="15.140625" style="2" customWidth="1"/>
    <col min="13582" max="13583" width="11.42578125" style="2"/>
    <col min="13584" max="13584" width="24.85546875" style="2" customWidth="1"/>
    <col min="13585" max="13585" width="10.7109375" style="2" customWidth="1"/>
    <col min="13586" max="13824" width="11.42578125" style="2"/>
    <col min="13825" max="13825" width="59.7109375" style="2" customWidth="1"/>
    <col min="13826" max="13826" width="10.7109375" style="2" customWidth="1"/>
    <col min="13827" max="13828" width="11.7109375" style="2" customWidth="1"/>
    <col min="13829" max="13830" width="10.7109375" style="2" customWidth="1"/>
    <col min="13831" max="13831" width="6.140625" style="2" customWidth="1"/>
    <col min="13832" max="13835" width="14.42578125" style="2" customWidth="1"/>
    <col min="13836" max="13837" width="15.140625" style="2" customWidth="1"/>
    <col min="13838" max="13839" width="11.42578125" style="2"/>
    <col min="13840" max="13840" width="24.85546875" style="2" customWidth="1"/>
    <col min="13841" max="13841" width="10.7109375" style="2" customWidth="1"/>
    <col min="13842" max="14080" width="11.42578125" style="2"/>
    <col min="14081" max="14081" width="59.7109375" style="2" customWidth="1"/>
    <col min="14082" max="14082" width="10.7109375" style="2" customWidth="1"/>
    <col min="14083" max="14084" width="11.7109375" style="2" customWidth="1"/>
    <col min="14085" max="14086" width="10.7109375" style="2" customWidth="1"/>
    <col min="14087" max="14087" width="6.140625" style="2" customWidth="1"/>
    <col min="14088" max="14091" width="14.42578125" style="2" customWidth="1"/>
    <col min="14092" max="14093" width="15.140625" style="2" customWidth="1"/>
    <col min="14094" max="14095" width="11.42578125" style="2"/>
    <col min="14096" max="14096" width="24.85546875" style="2" customWidth="1"/>
    <col min="14097" max="14097" width="10.7109375" style="2" customWidth="1"/>
    <col min="14098" max="14336" width="11.42578125" style="2"/>
    <col min="14337" max="14337" width="59.7109375" style="2" customWidth="1"/>
    <col min="14338" max="14338" width="10.7109375" style="2" customWidth="1"/>
    <col min="14339" max="14340" width="11.7109375" style="2" customWidth="1"/>
    <col min="14341" max="14342" width="10.7109375" style="2" customWidth="1"/>
    <col min="14343" max="14343" width="6.140625" style="2" customWidth="1"/>
    <col min="14344" max="14347" width="14.42578125" style="2" customWidth="1"/>
    <col min="14348" max="14349" width="15.140625" style="2" customWidth="1"/>
    <col min="14350" max="14351" width="11.42578125" style="2"/>
    <col min="14352" max="14352" width="24.85546875" style="2" customWidth="1"/>
    <col min="14353" max="14353" width="10.7109375" style="2" customWidth="1"/>
    <col min="14354" max="14592" width="11.42578125" style="2"/>
    <col min="14593" max="14593" width="59.7109375" style="2" customWidth="1"/>
    <col min="14594" max="14594" width="10.7109375" style="2" customWidth="1"/>
    <col min="14595" max="14596" width="11.7109375" style="2" customWidth="1"/>
    <col min="14597" max="14598" width="10.7109375" style="2" customWidth="1"/>
    <col min="14599" max="14599" width="6.140625" style="2" customWidth="1"/>
    <col min="14600" max="14603" width="14.42578125" style="2" customWidth="1"/>
    <col min="14604" max="14605" width="15.140625" style="2" customWidth="1"/>
    <col min="14606" max="14607" width="11.42578125" style="2"/>
    <col min="14608" max="14608" width="24.85546875" style="2" customWidth="1"/>
    <col min="14609" max="14609" width="10.7109375" style="2" customWidth="1"/>
    <col min="14610" max="14848" width="11.42578125" style="2"/>
    <col min="14849" max="14849" width="59.7109375" style="2" customWidth="1"/>
    <col min="14850" max="14850" width="10.7109375" style="2" customWidth="1"/>
    <col min="14851" max="14852" width="11.7109375" style="2" customWidth="1"/>
    <col min="14853" max="14854" width="10.7109375" style="2" customWidth="1"/>
    <col min="14855" max="14855" width="6.140625" style="2" customWidth="1"/>
    <col min="14856" max="14859" width="14.42578125" style="2" customWidth="1"/>
    <col min="14860" max="14861" width="15.140625" style="2" customWidth="1"/>
    <col min="14862" max="14863" width="11.42578125" style="2"/>
    <col min="14864" max="14864" width="24.85546875" style="2" customWidth="1"/>
    <col min="14865" max="14865" width="10.7109375" style="2" customWidth="1"/>
    <col min="14866" max="15104" width="11.42578125" style="2"/>
    <col min="15105" max="15105" width="59.7109375" style="2" customWidth="1"/>
    <col min="15106" max="15106" width="10.7109375" style="2" customWidth="1"/>
    <col min="15107" max="15108" width="11.7109375" style="2" customWidth="1"/>
    <col min="15109" max="15110" width="10.7109375" style="2" customWidth="1"/>
    <col min="15111" max="15111" width="6.140625" style="2" customWidth="1"/>
    <col min="15112" max="15115" width="14.42578125" style="2" customWidth="1"/>
    <col min="15116" max="15117" width="15.140625" style="2" customWidth="1"/>
    <col min="15118" max="15119" width="11.42578125" style="2"/>
    <col min="15120" max="15120" width="24.85546875" style="2" customWidth="1"/>
    <col min="15121" max="15121" width="10.7109375" style="2" customWidth="1"/>
    <col min="15122" max="15360" width="11.42578125" style="2"/>
    <col min="15361" max="15361" width="59.7109375" style="2" customWidth="1"/>
    <col min="15362" max="15362" width="10.7109375" style="2" customWidth="1"/>
    <col min="15363" max="15364" width="11.7109375" style="2" customWidth="1"/>
    <col min="15365" max="15366" width="10.7109375" style="2" customWidth="1"/>
    <col min="15367" max="15367" width="6.140625" style="2" customWidth="1"/>
    <col min="15368" max="15371" width="14.42578125" style="2" customWidth="1"/>
    <col min="15372" max="15373" width="15.140625" style="2" customWidth="1"/>
    <col min="15374" max="15375" width="11.42578125" style="2"/>
    <col min="15376" max="15376" width="24.85546875" style="2" customWidth="1"/>
    <col min="15377" max="15377" width="10.7109375" style="2" customWidth="1"/>
    <col min="15378" max="15616" width="11.42578125" style="2"/>
    <col min="15617" max="15617" width="59.7109375" style="2" customWidth="1"/>
    <col min="15618" max="15618" width="10.7109375" style="2" customWidth="1"/>
    <col min="15619" max="15620" width="11.7109375" style="2" customWidth="1"/>
    <col min="15621" max="15622" width="10.7109375" style="2" customWidth="1"/>
    <col min="15623" max="15623" width="6.140625" style="2" customWidth="1"/>
    <col min="15624" max="15627" width="14.42578125" style="2" customWidth="1"/>
    <col min="15628" max="15629" width="15.140625" style="2" customWidth="1"/>
    <col min="15630" max="15631" width="11.42578125" style="2"/>
    <col min="15632" max="15632" width="24.85546875" style="2" customWidth="1"/>
    <col min="15633" max="15633" width="10.7109375" style="2" customWidth="1"/>
    <col min="15634" max="15872" width="11.42578125" style="2"/>
    <col min="15873" max="15873" width="59.7109375" style="2" customWidth="1"/>
    <col min="15874" max="15874" width="10.7109375" style="2" customWidth="1"/>
    <col min="15875" max="15876" width="11.7109375" style="2" customWidth="1"/>
    <col min="15877" max="15878" width="10.7109375" style="2" customWidth="1"/>
    <col min="15879" max="15879" width="6.140625" style="2" customWidth="1"/>
    <col min="15880" max="15883" width="14.42578125" style="2" customWidth="1"/>
    <col min="15884" max="15885" width="15.140625" style="2" customWidth="1"/>
    <col min="15886" max="15887" width="11.42578125" style="2"/>
    <col min="15888" max="15888" width="24.85546875" style="2" customWidth="1"/>
    <col min="15889" max="15889" width="10.7109375" style="2" customWidth="1"/>
    <col min="15890" max="16128" width="11.42578125" style="2"/>
    <col min="16129" max="16129" width="59.7109375" style="2" customWidth="1"/>
    <col min="16130" max="16130" width="10.7109375" style="2" customWidth="1"/>
    <col min="16131" max="16132" width="11.7109375" style="2" customWidth="1"/>
    <col min="16133" max="16134" width="10.7109375" style="2" customWidth="1"/>
    <col min="16135" max="16135" width="6.140625" style="2" customWidth="1"/>
    <col min="16136" max="16139" width="14.42578125" style="2" customWidth="1"/>
    <col min="16140" max="16141" width="15.140625" style="2" customWidth="1"/>
    <col min="16142" max="16143" width="11.42578125" style="2"/>
    <col min="16144" max="16144" width="24.85546875" style="2" customWidth="1"/>
    <col min="16145" max="16145" width="10.7109375" style="2" customWidth="1"/>
    <col min="16146" max="16384" width="11.42578125" style="2"/>
  </cols>
  <sheetData>
    <row r="1" spans="1:23" ht="26.25" x14ac:dyDescent="0.4">
      <c r="A1" s="1000" t="s">
        <v>19</v>
      </c>
      <c r="B1" s="1001"/>
      <c r="C1" s="1002"/>
      <c r="D1" s="1002"/>
      <c r="E1" s="1002"/>
      <c r="F1" s="1002"/>
      <c r="G1" s="1003"/>
      <c r="H1" s="1142"/>
      <c r="I1" s="1130"/>
      <c r="J1" s="1130"/>
      <c r="K1" s="1130"/>
      <c r="L1" s="1130"/>
      <c r="M1" s="1130"/>
    </row>
    <row r="2" spans="1:23" s="27" customFormat="1" ht="26.25" x14ac:dyDescent="0.4">
      <c r="A2" s="1000" t="s">
        <v>20</v>
      </c>
      <c r="B2" s="1001"/>
      <c r="C2" s="1004"/>
      <c r="D2" s="1004"/>
      <c r="E2" s="1004"/>
      <c r="F2" s="1004"/>
      <c r="G2" s="1005"/>
      <c r="H2" s="1006"/>
      <c r="I2" s="537"/>
      <c r="J2" s="537"/>
      <c r="K2" s="537"/>
      <c r="L2" s="1130"/>
      <c r="M2" s="1130"/>
      <c r="O2" s="2"/>
      <c r="P2" s="2"/>
      <c r="Q2" s="82"/>
      <c r="R2" s="2"/>
      <c r="S2" s="1014"/>
      <c r="T2" s="1014"/>
      <c r="W2" s="1014"/>
    </row>
    <row r="3" spans="1:23" s="27" customFormat="1" ht="90" customHeight="1" x14ac:dyDescent="0.35">
      <c r="A3" s="1007" t="str">
        <f>INDEX('Доставка по областям'!$A$2:$A$90,'ЛАЙТ Рязань'!$Q$5)</f>
        <v>Рязанская область</v>
      </c>
      <c r="B3" s="1411" t="str">
        <f>IFERROR(VLOOKUP(A3,'Доставка по областям'!$A$92:$B$107,2,0)," ")</f>
        <v xml:space="preserve"> </v>
      </c>
      <c r="C3" s="1411"/>
      <c r="D3" s="1411"/>
      <c r="E3" s="1411"/>
      <c r="F3" s="1411"/>
      <c r="G3" s="1411"/>
      <c r="H3" s="1411"/>
      <c r="I3" s="537"/>
      <c r="J3" s="537"/>
      <c r="K3" s="537"/>
      <c r="L3" s="1130"/>
      <c r="M3" s="1130"/>
      <c r="O3" s="2"/>
      <c r="P3" s="2"/>
      <c r="Q3" s="82"/>
      <c r="R3" s="2"/>
      <c r="S3" s="1014"/>
      <c r="T3" s="1014"/>
      <c r="W3" s="1014"/>
    </row>
    <row r="4" spans="1:23" x14ac:dyDescent="0.25">
      <c r="A4" s="1002"/>
      <c r="B4" s="1411"/>
      <c r="C4" s="1411"/>
      <c r="D4" s="1411"/>
      <c r="E4" s="1411"/>
      <c r="F4" s="1411"/>
      <c r="G4" s="1411"/>
      <c r="H4" s="1411"/>
      <c r="I4" s="999"/>
      <c r="J4" s="999"/>
      <c r="K4" s="999"/>
      <c r="L4" s="1141"/>
      <c r="M4" s="1141"/>
      <c r="N4" s="7"/>
      <c r="T4" s="1095"/>
    </row>
    <row r="5" spans="1:23" x14ac:dyDescent="0.25">
      <c r="A5" s="1008"/>
      <c r="B5" s="1008"/>
      <c r="C5" s="1008"/>
      <c r="D5" s="1008"/>
      <c r="E5" s="1008"/>
      <c r="F5" s="1008"/>
      <c r="G5" s="1008"/>
      <c r="H5" s="1008"/>
      <c r="I5" s="1008"/>
      <c r="J5" s="1008"/>
      <c r="K5" s="1008"/>
      <c r="L5" s="1130"/>
      <c r="M5" s="1130"/>
      <c r="N5" s="7"/>
      <c r="T5" s="1097"/>
    </row>
    <row r="6" spans="1:23" ht="18.75" thickBot="1" x14ac:dyDescent="0.3">
      <c r="A6" s="3">
        <f>'Рулонная изоляция DDP'!A5</f>
        <v>0</v>
      </c>
      <c r="B6" s="929"/>
      <c r="C6" s="7"/>
      <c r="D6" s="7"/>
      <c r="E6" s="7"/>
      <c r="F6" s="7"/>
      <c r="G6" s="73"/>
      <c r="H6" s="67"/>
      <c r="I6" s="58"/>
      <c r="J6" s="7"/>
      <c r="K6" s="7"/>
      <c r="L6" s="134"/>
      <c r="M6" s="1131"/>
      <c r="N6" s="7"/>
    </row>
    <row r="7" spans="1:23" ht="57.75" customHeight="1" x14ac:dyDescent="0.25">
      <c r="A7" s="1398" t="s">
        <v>0</v>
      </c>
      <c r="B7" s="1400" t="s">
        <v>281</v>
      </c>
      <c r="C7" s="1402" t="s">
        <v>1</v>
      </c>
      <c r="D7" s="1404" t="s">
        <v>2</v>
      </c>
      <c r="E7" s="1406" t="s">
        <v>3</v>
      </c>
      <c r="F7" s="1407"/>
      <c r="G7" s="1293" t="s">
        <v>36</v>
      </c>
      <c r="H7" s="1392" t="s">
        <v>619</v>
      </c>
      <c r="I7" s="1393"/>
      <c r="J7" s="1394" t="s">
        <v>44</v>
      </c>
      <c r="K7" s="1395"/>
      <c r="L7" s="1396" t="s">
        <v>760</v>
      </c>
      <c r="M7" s="1397"/>
      <c r="N7" s="1412"/>
      <c r="O7" s="1413"/>
    </row>
    <row r="8" spans="1:23" ht="52.5" customHeight="1" thickBot="1" x14ac:dyDescent="0.3">
      <c r="A8" s="1399"/>
      <c r="B8" s="1401"/>
      <c r="C8" s="1403"/>
      <c r="D8" s="1405"/>
      <c r="E8" s="1408"/>
      <c r="F8" s="1409"/>
      <c r="G8" s="1391"/>
      <c r="H8" s="930" t="s">
        <v>620</v>
      </c>
      <c r="I8" s="931" t="s">
        <v>18</v>
      </c>
      <c r="J8" s="932" t="s">
        <v>43</v>
      </c>
      <c r="K8" s="931" t="s">
        <v>42</v>
      </c>
      <c r="L8" s="682" t="s">
        <v>18</v>
      </c>
      <c r="M8" s="934" t="s">
        <v>621</v>
      </c>
      <c r="N8" s="1225"/>
      <c r="O8" s="1151"/>
      <c r="P8" s="1240"/>
      <c r="Q8" s="82"/>
      <c r="R8" s="2"/>
    </row>
    <row r="9" spans="1:23" ht="24.95" customHeight="1" x14ac:dyDescent="0.25">
      <c r="A9" s="935" t="s">
        <v>622</v>
      </c>
      <c r="B9" s="1060">
        <v>446980</v>
      </c>
      <c r="C9" s="9">
        <v>1200</v>
      </c>
      <c r="D9" s="937">
        <v>600</v>
      </c>
      <c r="E9" s="938">
        <v>30</v>
      </c>
      <c r="F9" s="11">
        <v>50</v>
      </c>
      <c r="G9" s="61" t="s">
        <v>46</v>
      </c>
      <c r="H9" s="45">
        <v>104</v>
      </c>
      <c r="I9" s="939">
        <f>C9*D9*((E9+F9)/2)/1000000000*H9</f>
        <v>2.9952000000000001</v>
      </c>
      <c r="J9" s="201">
        <f>I9*22</f>
        <v>65.894400000000005</v>
      </c>
      <c r="K9" s="180">
        <f>I9*24</f>
        <v>71.884799999999998</v>
      </c>
      <c r="L9" s="786" t="str">
        <f>IFERROR(IF(OR('ТРУФ КЛИН ExW Рязань'!$N$8="Завод 'ТЕХНО' г.Рязань",'ТРУФ КЛИН ExW Рязань'!$N$8="Завод 'ТЕХНО' г.Заинск"),IF('ТРУФ КЛИН ExW Рязань'!$N$8="Завод 'ТЕХНО' г.Рязань",'ТРУФ КЛИН ExW Рязань'!L9*(1-'ТРУФ КЛИН ExW Рязань'!O9-'ТРУФ КЛИН ExW Рязань'!$O$5)+'ТРУФ КЛИН ExW Рязань'!$L$6,'ТРУФ КЛИН ExW Заинск'!L9*(1-'ТРУФ КЛИН ExW Рязань'!$O$8-'ТРУФ КЛИН ExW Рязань'!$O$5)+'ТРУФ КЛИН ExW Рязань'!$L$6),'ТРУФ КЛИН ExW Юрга'!L9*(1-'ТРУФ КЛИН ExW Рязань'!$O$8-'ТРУФ КЛИН ExW Рязань'!$O$5)+'ТРУФ КЛИН ExW Рязань'!$L$6),"нет")</f>
        <v>нет</v>
      </c>
      <c r="M9" s="994" t="str">
        <f>IFERROR(L9*(C9*D9*((E9+F9)/2)/1000000000),"---")</f>
        <v>---</v>
      </c>
      <c r="N9" s="1231"/>
      <c r="O9" s="4"/>
      <c r="P9" s="4"/>
      <c r="Q9" s="2"/>
      <c r="R9" s="2"/>
      <c r="S9" s="745"/>
    </row>
    <row r="10" spans="1:23" ht="24.95" customHeight="1" x14ac:dyDescent="0.25">
      <c r="A10" s="941" t="s">
        <v>623</v>
      </c>
      <c r="B10" s="1061">
        <v>446986</v>
      </c>
      <c r="C10" s="12">
        <v>1200</v>
      </c>
      <c r="D10" s="943">
        <v>600</v>
      </c>
      <c r="E10" s="944">
        <v>50</v>
      </c>
      <c r="F10" s="14">
        <v>70</v>
      </c>
      <c r="G10" s="62" t="s">
        <v>46</v>
      </c>
      <c r="H10" s="47">
        <v>72</v>
      </c>
      <c r="I10" s="945">
        <f>C10*D10*((E10+F10)/2)/1000000000*H10</f>
        <v>3.1104000000000003</v>
      </c>
      <c r="J10" s="192">
        <f>I10*22</f>
        <v>68.42880000000001</v>
      </c>
      <c r="K10" s="182">
        <f>I10*24</f>
        <v>74.649600000000007</v>
      </c>
      <c r="L10" s="786" t="str">
        <f>IFERROR(IF(OR('ТРУФ КЛИН ExW Рязань'!$N$8="Завод 'ТЕХНО' г.Рязань",'ТРУФ КЛИН ExW Рязань'!$N$8="Завод 'ТЕХНО' г.Заинск"),IF('ТРУФ КЛИН ExW Рязань'!$N$8="Завод 'ТЕХНО' г.Рязань",'ТРУФ КЛИН ExW Рязань'!L10*(1-'ТРУФ КЛИН ExW Рязань'!O10-'ТРУФ КЛИН ExW Рязань'!$O$5)+'ТРУФ КЛИН ExW Рязань'!$L$6,'ТРУФ КЛИН ExW Заинск'!L10*(1-'ТРУФ КЛИН ExW Рязань'!$O$8-'ТРУФ КЛИН ExW Рязань'!$O$5)+'ТРУФ КЛИН ExW Рязань'!$L$6),'ТРУФ КЛИН ExW Юрга'!L10*(1-'ТРУФ КЛИН ExW Рязань'!$O$8-'ТРУФ КЛИН ExW Рязань'!$O$5)+'ТРУФ КЛИН ExW Рязань'!$L$6),"нет")</f>
        <v>нет</v>
      </c>
      <c r="M10" s="995" t="str">
        <f>IFERROR(L10*(C10*D10*((E10+F10)/2)/1000000000),"---")</f>
        <v>---</v>
      </c>
      <c r="N10" s="1231"/>
      <c r="O10" s="4"/>
      <c r="P10" s="4"/>
      <c r="Q10" s="2"/>
      <c r="R10" s="2"/>
      <c r="S10" s="745"/>
    </row>
    <row r="11" spans="1:23" ht="24.95" customHeight="1" thickBot="1" x14ac:dyDescent="0.3">
      <c r="A11" s="947" t="s">
        <v>624</v>
      </c>
      <c r="B11" s="1062">
        <v>447042</v>
      </c>
      <c r="C11" s="15">
        <v>1200</v>
      </c>
      <c r="D11" s="949">
        <v>600</v>
      </c>
      <c r="E11" s="950">
        <v>40</v>
      </c>
      <c r="F11" s="17">
        <v>40</v>
      </c>
      <c r="G11" s="63" t="s">
        <v>46</v>
      </c>
      <c r="H11" s="49">
        <v>108</v>
      </c>
      <c r="I11" s="951">
        <f t="shared" ref="I11:I18" si="0">C11*D11*((E11+F11)/2)/1000000000*H11</f>
        <v>3.1103999999999998</v>
      </c>
      <c r="J11" s="193">
        <f t="shared" ref="J11:J18" si="1">I11*22</f>
        <v>68.428799999999995</v>
      </c>
      <c r="K11" s="184">
        <f t="shared" ref="K11:K18" si="2">I11*24</f>
        <v>74.649599999999992</v>
      </c>
      <c r="L11" s="1241" t="str">
        <f>IFERROR(IF(OR('ТРУФ КЛИН ExW Рязань'!$N$8="Завод 'ТЕХНО' г.Рязань",'ТРУФ КЛИН ExW Рязань'!$N$8="Завод 'ТЕХНО' г.Заинск"),IF('ТРУФ КЛИН ExW Рязань'!$N$8="Завод 'ТЕХНО' г.Рязань",'ТРУФ КЛИН ExW Рязань'!L11*(1-'ТРУФ КЛИН ExW Рязань'!O11-'ТРУФ КЛИН ExW Рязань'!$O$5)+'ТРУФ КЛИН ExW Рязань'!$L$6,'ТРУФ КЛИН ExW Заинск'!L11*(1-'ТРУФ КЛИН ExW Рязань'!$O$8-'ТРУФ КЛИН ExW Рязань'!$O$5)+'ТРУФ КЛИН ExW Рязань'!$L$6),'ТРУФ КЛИН ExW Юрга'!L11*(1-'ТРУФ КЛИН ExW Рязань'!$O$8-'ТРУФ КЛИН ExW Рязань'!$O$5)+'ТРУФ КЛИН ExW Рязань'!$L$6),"нет")</f>
        <v>нет</v>
      </c>
      <c r="M11" s="996" t="str">
        <f t="shared" ref="M11" si="3">IFERROR(L11*(C11*D11*((E11+F11)/2)/1000000000),"---")</f>
        <v>---</v>
      </c>
      <c r="N11" s="1231"/>
      <c r="O11" s="4"/>
      <c r="P11" s="4"/>
      <c r="Q11" s="2"/>
      <c r="R11" s="2"/>
      <c r="S11" s="745"/>
    </row>
    <row r="12" spans="1:23" ht="24.95" customHeight="1" x14ac:dyDescent="0.25">
      <c r="A12" s="935" t="s">
        <v>622</v>
      </c>
      <c r="B12" s="936">
        <v>433187</v>
      </c>
      <c r="C12" s="9">
        <v>1200</v>
      </c>
      <c r="D12" s="937">
        <v>1200</v>
      </c>
      <c r="E12" s="938">
        <v>30</v>
      </c>
      <c r="F12" s="11">
        <v>50</v>
      </c>
      <c r="G12" s="61" t="s">
        <v>46</v>
      </c>
      <c r="H12" s="45">
        <v>52</v>
      </c>
      <c r="I12" s="1063">
        <f t="shared" si="0"/>
        <v>2.9952000000000001</v>
      </c>
      <c r="J12" s="191">
        <f t="shared" si="1"/>
        <v>65.894400000000005</v>
      </c>
      <c r="K12" s="190">
        <f t="shared" si="2"/>
        <v>71.884799999999998</v>
      </c>
      <c r="L12" s="786">
        <f>IFERROR(IF(OR('ТРУФ КЛИН ExW Рязань'!$N$8="Завод 'ТЕХНО' г.Рязань",'ТРУФ КЛИН ExW Рязань'!$N$8="Завод 'ТЕХНО' г.Заинск"),IF('ТРУФ КЛИН ExW Рязань'!$N$8="Завод 'ТЕХНО' г.Рязань",'ТРУФ КЛИН ExW Рязань'!L12*(1-'ТРУФ КЛИН ExW Рязань'!O12-'ТРУФ КЛИН ExW Рязань'!$O$5)+'ТРУФ КЛИН ExW Рязань'!$L$6,'ТРУФ КЛИН ExW Заинск'!L12*(1-'ТРУФ КЛИН ExW Рязань'!$O$8-'ТРУФ КЛИН ExW Рязань'!$O$5)+'ТРУФ КЛИН ExW Рязань'!$L$6),'ТРУФ КЛИН ExW Юрга'!L12*(1-'ТРУФ КЛИН ExW Рязань'!$O$8-'ТРУФ КЛИН ExW Рязань'!$O$5)+'ТРУФ КЛИН ExW Рязань'!$L$6),"нет")</f>
        <v>5920</v>
      </c>
      <c r="M12" s="994">
        <f>IFERROR(L12*(C12*D12*((E12+F12)/2)/1000000000),"---")</f>
        <v>340.99200000000002</v>
      </c>
      <c r="N12" s="1231"/>
      <c r="O12" s="1229"/>
      <c r="P12" s="4"/>
      <c r="Q12" s="2"/>
      <c r="R12" s="2"/>
      <c r="S12" s="745"/>
      <c r="V12" s="1229"/>
    </row>
    <row r="13" spans="1:23" ht="24.95" customHeight="1" x14ac:dyDescent="0.25">
      <c r="A13" s="941" t="s">
        <v>623</v>
      </c>
      <c r="B13" s="942">
        <v>433188</v>
      </c>
      <c r="C13" s="12">
        <v>1200</v>
      </c>
      <c r="D13" s="943">
        <v>1200</v>
      </c>
      <c r="E13" s="944">
        <v>50</v>
      </c>
      <c r="F13" s="14">
        <v>70</v>
      </c>
      <c r="G13" s="62" t="s">
        <v>46</v>
      </c>
      <c r="H13" s="47">
        <v>36</v>
      </c>
      <c r="I13" s="945">
        <f t="shared" si="0"/>
        <v>3.1104000000000003</v>
      </c>
      <c r="J13" s="192">
        <f t="shared" si="1"/>
        <v>68.42880000000001</v>
      </c>
      <c r="K13" s="182">
        <f t="shared" si="2"/>
        <v>74.649600000000007</v>
      </c>
      <c r="L13" s="786">
        <f>IFERROR(IF(OR('ТРУФ КЛИН ExW Рязань'!$N$8="Завод 'ТЕХНО' г.Рязань",'ТРУФ КЛИН ExW Рязань'!$N$8="Завод 'ТЕХНО' г.Заинск"),IF('ТРУФ КЛИН ExW Рязань'!$N$8="Завод 'ТЕХНО' г.Рязань",'ТРУФ КЛИН ExW Рязань'!L13*(1-'ТРУФ КЛИН ExW Рязань'!O13-'ТРУФ КЛИН ExW Рязань'!$O$5)+'ТРУФ КЛИН ExW Рязань'!$L$6,'ТРУФ КЛИН ExW Заинск'!L13*(1-'ТРУФ КЛИН ExW Рязань'!$O$8-'ТРУФ КЛИН ExW Рязань'!$O$5)+'ТРУФ КЛИН ExW Рязань'!$L$6),'ТРУФ КЛИН ExW Юрга'!L13*(1-'ТРУФ КЛИН ExW Рязань'!$O$8-'ТРУФ КЛИН ExW Рязань'!$O$5)+'ТРУФ КЛИН ExW Рязань'!$L$6),"нет")</f>
        <v>5637</v>
      </c>
      <c r="M13" s="995">
        <f>IFERROR(L13*(C13*D13*((E13+F13)/2)/1000000000),"---")</f>
        <v>487.03680000000003</v>
      </c>
      <c r="N13" s="1231"/>
      <c r="O13" s="1229"/>
      <c r="P13" s="4"/>
      <c r="Q13" s="2"/>
      <c r="R13" s="2"/>
      <c r="S13" s="745"/>
    </row>
    <row r="14" spans="1:23" ht="24.95" customHeight="1" thickBot="1" x14ac:dyDescent="0.3">
      <c r="A14" s="947" t="s">
        <v>624</v>
      </c>
      <c r="B14" s="948">
        <v>433190</v>
      </c>
      <c r="C14" s="15">
        <v>1200</v>
      </c>
      <c r="D14" s="949">
        <v>1200</v>
      </c>
      <c r="E14" s="950">
        <v>40</v>
      </c>
      <c r="F14" s="17">
        <v>40</v>
      </c>
      <c r="G14" s="63" t="s">
        <v>46</v>
      </c>
      <c r="H14" s="49">
        <v>54</v>
      </c>
      <c r="I14" s="951">
        <f t="shared" si="0"/>
        <v>3.1103999999999998</v>
      </c>
      <c r="J14" s="193">
        <f t="shared" si="1"/>
        <v>68.428799999999995</v>
      </c>
      <c r="K14" s="184">
        <f t="shared" si="2"/>
        <v>74.649599999999992</v>
      </c>
      <c r="L14" s="1241">
        <f>IFERROR(IF(OR('ТРУФ КЛИН ExW Рязань'!$N$8="Завод 'ТЕХНО' г.Рязань",'ТРУФ КЛИН ExW Рязань'!$N$8="Завод 'ТЕХНО' г.Заинск"),IF('ТРУФ КЛИН ExW Рязань'!$N$8="Завод 'ТЕХНО' г.Рязань",'ТРУФ КЛИН ExW Рязань'!L14*(1-'ТРУФ КЛИН ExW Рязань'!O14-'ТРУФ КЛИН ExW Рязань'!$O$5)+'ТРУФ КЛИН ExW Рязань'!$L$6,'ТРУФ КЛИН ExW Заинск'!L14*(1-'ТРУФ КЛИН ExW Рязань'!$O$8-'ТРУФ КЛИН ExW Рязань'!$O$5)+'ТРУФ КЛИН ExW Рязань'!$L$6),'ТРУФ КЛИН ExW Юрга'!L14*(1-'ТРУФ КЛИН ExW Рязань'!$O$8-'ТРУФ КЛИН ExW Рязань'!$O$5)+'ТРУФ КЛИН ExW Рязань'!$L$6),"нет")</f>
        <v>5025</v>
      </c>
      <c r="M14" s="996">
        <f t="shared" ref="M14:M18" si="4">IFERROR(L14*(C14*D14*((E14+F14)/2)/1000000000),"---")</f>
        <v>289.44</v>
      </c>
      <c r="N14" s="1231"/>
      <c r="O14" s="1229"/>
      <c r="P14" s="4"/>
      <c r="Q14" s="2"/>
      <c r="R14" s="2"/>
      <c r="S14" s="745"/>
    </row>
    <row r="15" spans="1:23" ht="24.95" customHeight="1" x14ac:dyDescent="0.25">
      <c r="A15" s="935" t="s">
        <v>625</v>
      </c>
      <c r="B15" s="936">
        <v>433191</v>
      </c>
      <c r="C15" s="9">
        <v>1200</v>
      </c>
      <c r="D15" s="937">
        <v>600</v>
      </c>
      <c r="E15" s="938">
        <v>30</v>
      </c>
      <c r="F15" s="11">
        <v>55</v>
      </c>
      <c r="G15" s="61" t="s">
        <v>46</v>
      </c>
      <c r="H15" s="45">
        <v>88</v>
      </c>
      <c r="I15" s="1063">
        <f t="shared" si="0"/>
        <v>2.6928000000000001</v>
      </c>
      <c r="J15" s="191">
        <f t="shared" si="1"/>
        <v>59.241600000000005</v>
      </c>
      <c r="K15" s="190">
        <f t="shared" si="2"/>
        <v>64.627200000000002</v>
      </c>
      <c r="L15" s="786">
        <f>IFERROR(IF(OR('ТРУФ КЛИН ExW Рязань'!$N$8="Завод 'ТЕХНО' г.Рязань",'ТРУФ КЛИН ExW Рязань'!$N$8="Завод 'ТЕХНО' г.Заинск"),IF('ТРУФ КЛИН ExW Рязань'!$N$8="Завод 'ТЕХНО' г.Рязань",'ТРУФ КЛИН ExW Рязань'!L15*(1-'ТРУФ КЛИН ExW Рязань'!O15-'ТРУФ КЛИН ExW Рязань'!$O$5)+'ТРУФ КЛИН ExW Рязань'!$L$6,'ТРУФ КЛИН ExW Заинск'!L15*(1-'ТРУФ КЛИН ExW Рязань'!$O$8-'ТРУФ КЛИН ExW Рязань'!$O$5)+'ТРУФ КЛИН ExW Рязань'!$L$6),'ТРУФ КЛИН ExW Юрга'!L15*(1-'ТРУФ КЛИН ExW Рязань'!$O$8-'ТРУФ КЛИН ExW Рязань'!$O$5)+'ТРУФ КЛИН ExW Рязань'!$L$6),"нет")</f>
        <v>5976</v>
      </c>
      <c r="M15" s="997">
        <f t="shared" si="4"/>
        <v>182.8656</v>
      </c>
      <c r="N15" s="1231"/>
      <c r="O15" s="1229"/>
      <c r="P15" s="4"/>
      <c r="Q15" s="2"/>
      <c r="R15" s="2"/>
      <c r="S15" s="745"/>
    </row>
    <row r="16" spans="1:23" ht="24.95" customHeight="1" x14ac:dyDescent="0.25">
      <c r="A16" s="941" t="s">
        <v>626</v>
      </c>
      <c r="B16" s="942">
        <v>433192</v>
      </c>
      <c r="C16" s="12">
        <v>1200</v>
      </c>
      <c r="D16" s="943">
        <v>600</v>
      </c>
      <c r="E16" s="944">
        <v>55</v>
      </c>
      <c r="F16" s="14">
        <v>80</v>
      </c>
      <c r="G16" s="62" t="s">
        <v>46</v>
      </c>
      <c r="H16" s="47">
        <v>64</v>
      </c>
      <c r="I16" s="945">
        <f>C16*D16*((E16+F16)/2)/1000000000*H16</f>
        <v>3.1103999999999998</v>
      </c>
      <c r="J16" s="192">
        <f t="shared" si="1"/>
        <v>68.428799999999995</v>
      </c>
      <c r="K16" s="182">
        <f t="shared" si="2"/>
        <v>74.649599999999992</v>
      </c>
      <c r="L16" s="786">
        <f>IFERROR(IF(OR('ТРУФ КЛИН ExW Рязань'!$N$8="Завод 'ТЕХНО' г.Рязань",'ТРУФ КЛИН ExW Рязань'!$N$8="Завод 'ТЕХНО' г.Заинск"),IF('ТРУФ КЛИН ExW Рязань'!$N$8="Завод 'ТЕХНО' г.Рязань",'ТРУФ КЛИН ExW Рязань'!L16*(1-'ТРУФ КЛИН ExW Рязань'!O16-'ТРУФ КЛИН ExW Рязань'!$O$5)+'ТРУФ КЛИН ExW Рязань'!$L$6,'ТРУФ КЛИН ExW Заинск'!L16*(1-'ТРУФ КЛИН ExW Рязань'!$O$8-'ТРУФ КЛИН ExW Рязань'!$O$5)+'ТРУФ КЛИН ExW Рязань'!$L$6),'ТРУФ КЛИН ExW Юрга'!L16*(1-'ТРУФ КЛИН ExW Рязань'!$O$8-'ТРУФ КЛИН ExW Рязань'!$O$5)+'ТРУФ КЛИН ExW Рязань'!$L$6),"нет")</f>
        <v>5561</v>
      </c>
      <c r="M16" s="995">
        <f t="shared" si="4"/>
        <v>270.26459999999997</v>
      </c>
      <c r="N16" s="1231"/>
      <c r="O16" s="1229"/>
      <c r="P16" s="4"/>
      <c r="Q16" s="2"/>
      <c r="R16" s="2"/>
      <c r="S16" s="745"/>
    </row>
    <row r="17" spans="1:32" ht="24.95" customHeight="1" thickBot="1" x14ac:dyDescent="0.3">
      <c r="A17" s="947" t="s">
        <v>627</v>
      </c>
      <c r="B17" s="948">
        <v>433193</v>
      </c>
      <c r="C17" s="15">
        <v>1200</v>
      </c>
      <c r="D17" s="949">
        <v>600</v>
      </c>
      <c r="E17" s="950">
        <v>50</v>
      </c>
      <c r="F17" s="17">
        <v>50</v>
      </c>
      <c r="G17" s="63" t="s">
        <v>46</v>
      </c>
      <c r="H17" s="306">
        <v>192</v>
      </c>
      <c r="I17" s="951">
        <f t="shared" si="0"/>
        <v>6.911999999999999</v>
      </c>
      <c r="J17" s="193">
        <f>I17*11</f>
        <v>76.031999999999982</v>
      </c>
      <c r="K17" s="184">
        <f>I17*12</f>
        <v>82.943999999999988</v>
      </c>
      <c r="L17" s="1241">
        <f>IFERROR(IF(OR('ТРУФ КЛИН ExW Рязань'!$N$8="Завод 'ТЕХНО' г.Рязань",'ТРУФ КЛИН ExW Рязань'!$N$8="Завод 'ТЕХНО' г.Заинск"),IF('ТРУФ КЛИН ExW Рязань'!$N$8="Завод 'ТЕХНО' г.Рязань",'ТРУФ КЛИН ExW Рязань'!L17*(1-'ТРУФ КЛИН ExW Рязань'!O17-'ТРУФ КЛИН ExW Рязань'!$O$5)+'ТРУФ КЛИН ExW Рязань'!$L$6,'ТРУФ КЛИН ExW Заинск'!L17*(1-'ТРУФ КЛИН ExW Рязань'!$O$8-'ТРУФ КЛИН ExW Рязань'!$O$5)+'ТРУФ КЛИН ExW Рязань'!$L$6),'ТРУФ КЛИН ExW Юрга'!L17*(1-'ТРУФ КЛИН ExW Рязань'!$O$8-'ТРУФ КЛИН ExW Рязань'!$O$5)+'ТРУФ КЛИН ExW Рязань'!$L$6),"нет")</f>
        <v>5029</v>
      </c>
      <c r="M17" s="996">
        <f t="shared" si="4"/>
        <v>181.04399999999998</v>
      </c>
      <c r="N17" s="1231"/>
      <c r="O17" s="1229"/>
      <c r="P17" s="4"/>
      <c r="Q17" s="2"/>
      <c r="R17" s="2"/>
      <c r="S17" s="745"/>
    </row>
    <row r="18" spans="1:32" s="745" customFormat="1" ht="24.95" customHeight="1" thickBot="1" x14ac:dyDescent="0.3">
      <c r="A18" s="958" t="s">
        <v>628</v>
      </c>
      <c r="B18" s="959">
        <v>405797</v>
      </c>
      <c r="C18" s="960">
        <v>1200</v>
      </c>
      <c r="D18" s="961">
        <v>100</v>
      </c>
      <c r="E18" s="962">
        <v>0</v>
      </c>
      <c r="F18" s="963">
        <v>100</v>
      </c>
      <c r="G18" s="964" t="s">
        <v>46</v>
      </c>
      <c r="H18" s="965">
        <v>480</v>
      </c>
      <c r="I18" s="1064">
        <f t="shared" si="0"/>
        <v>2.88</v>
      </c>
      <c r="J18" s="1065">
        <f t="shared" si="1"/>
        <v>63.36</v>
      </c>
      <c r="K18" s="1066">
        <f t="shared" si="2"/>
        <v>69.12</v>
      </c>
      <c r="L18" s="1242">
        <f>IFERROR(IF(OR('ТРУФ КЛИН ExW Рязань'!$N$8="Завод 'ТЕХНО' г.Рязань",'ТРУФ КЛИН ExW Рязань'!$N$8="Завод 'ТЕХНО' г.Заинск"),IF('ТРУФ КЛИН ExW Рязань'!$N$8="Завод 'ТЕХНО' г.Рязань",'ТРУФ КЛИН ExW Рязань'!L18*(1-'ТРУФ КЛИН ExW Рязань'!O18-'ТРУФ КЛИН ExW Рязань'!$O$5)+'ТРУФ КЛИН ExW Рязань'!$L$6,'ТРУФ КЛИН ExW Заинск'!L18*(1-'ТРУФ КЛИН ExW Рязань'!$O$8-'ТРУФ КЛИН ExW Рязань'!$O$5)+'ТРУФ КЛИН ExW Рязань'!$L$6),'ТРУФ КЛИН ExW Юрга'!L18*(1-'ТРУФ КЛИН ExW Рязань'!$O$8-'ТРУФ КЛИН ExW Рязань'!$O$5)+'ТРУФ КЛИН ExW Рязань'!$L$6),"нет")</f>
        <v>9190</v>
      </c>
      <c r="M18" s="998">
        <f t="shared" si="4"/>
        <v>55.14</v>
      </c>
      <c r="N18" s="1231"/>
      <c r="O18" s="1229"/>
      <c r="P18" s="4"/>
      <c r="Q18" s="2"/>
      <c r="X18" s="2"/>
      <c r="Y18" s="2"/>
      <c r="Z18" s="2"/>
      <c r="AA18" s="2"/>
      <c r="AB18" s="2"/>
      <c r="AC18" s="2"/>
      <c r="AD18" s="2"/>
      <c r="AE18" s="2"/>
      <c r="AF18" s="2"/>
    </row>
    <row r="19" spans="1:32" ht="20.100000000000001" customHeight="1" x14ac:dyDescent="0.25">
      <c r="A19" s="18"/>
      <c r="B19" s="954"/>
      <c r="J19" s="595"/>
      <c r="K19" s="595"/>
    </row>
    <row r="20" spans="1:32" ht="18.75" customHeight="1" x14ac:dyDescent="0.25">
      <c r="A20" s="1" t="s">
        <v>7</v>
      </c>
      <c r="B20" s="91"/>
      <c r="C20" s="91"/>
      <c r="D20" s="91"/>
      <c r="G20" s="2"/>
      <c r="J20" s="1275"/>
      <c r="K20" s="1275"/>
      <c r="L20" s="1275"/>
      <c r="M20" s="1275"/>
      <c r="O20" s="2"/>
      <c r="P20" s="2"/>
      <c r="Q20" s="82"/>
      <c r="R20" s="2"/>
      <c r="S20" s="745"/>
    </row>
    <row r="21" spans="1:32" s="745" customFormat="1" ht="20.100000000000001" customHeight="1" x14ac:dyDescent="0.25">
      <c r="A21" s="471" t="s">
        <v>423</v>
      </c>
      <c r="B21" s="32"/>
      <c r="C21" s="32"/>
      <c r="D21" s="32"/>
      <c r="H21" s="746"/>
      <c r="I21" s="748"/>
      <c r="J21" s="1244"/>
      <c r="K21" s="1244"/>
      <c r="L21" s="1244"/>
      <c r="M21" s="1244"/>
      <c r="N21" s="2"/>
      <c r="O21" s="2"/>
      <c r="Q21" s="953"/>
      <c r="X21" s="2"/>
      <c r="Y21" s="2"/>
      <c r="Z21" s="2"/>
      <c r="AA21" s="2"/>
      <c r="AB21" s="2"/>
      <c r="AC21" s="2"/>
      <c r="AD21" s="2"/>
      <c r="AE21" s="2"/>
      <c r="AF21" s="2"/>
    </row>
    <row r="22" spans="1:32" ht="20.100000000000001" customHeight="1" x14ac:dyDescent="0.25">
      <c r="A22" s="26" t="s">
        <v>438</v>
      </c>
      <c r="B22" s="2"/>
      <c r="G22" s="2"/>
      <c r="J22" s="1244"/>
      <c r="K22" s="1244"/>
      <c r="L22" s="1244"/>
      <c r="M22" s="1244"/>
      <c r="O22" s="2"/>
      <c r="P22" s="2"/>
      <c r="Q22" s="82"/>
      <c r="R22" s="2"/>
      <c r="S22" s="745"/>
    </row>
    <row r="23" spans="1:32" ht="20.100000000000001" customHeight="1" x14ac:dyDescent="0.25">
      <c r="A23" s="26" t="s">
        <v>24</v>
      </c>
      <c r="B23" s="2"/>
      <c r="G23" s="2"/>
      <c r="J23" s="1245"/>
      <c r="K23" s="1245"/>
      <c r="L23" s="1245"/>
      <c r="M23" s="1245"/>
      <c r="O23" s="2"/>
      <c r="P23" s="2"/>
      <c r="Q23" s="82"/>
      <c r="R23" s="2"/>
      <c r="S23" s="745"/>
    </row>
    <row r="24" spans="1:32" ht="20.100000000000001" customHeight="1" x14ac:dyDescent="0.25">
      <c r="A24" s="26" t="s">
        <v>52</v>
      </c>
      <c r="B24" s="2"/>
      <c r="G24" s="2"/>
      <c r="L24" s="1245"/>
      <c r="M24" s="1245"/>
      <c r="O24" s="2"/>
      <c r="P24" s="2"/>
      <c r="Q24" s="82"/>
      <c r="R24" s="2"/>
      <c r="S24" s="745"/>
    </row>
    <row r="25" spans="1:32" ht="20.100000000000001" customHeight="1" x14ac:dyDescent="0.25">
      <c r="A25" s="30" t="s">
        <v>541</v>
      </c>
      <c r="B25" s="2"/>
      <c r="G25" s="2"/>
      <c r="O25" s="2"/>
      <c r="P25" s="2"/>
      <c r="Q25" s="82"/>
      <c r="R25" s="2"/>
      <c r="S25" s="745"/>
    </row>
    <row r="26" spans="1:32" ht="20.100000000000001" customHeight="1" x14ac:dyDescent="0.25">
      <c r="A26" s="30" t="str">
        <f>'Лайт+АКУСТИК DDP'!A78</f>
        <v>Б - отгрузка в течение 3 дней (заявки принимаются в любом количестве, кратно пачке).</v>
      </c>
      <c r="B26" s="2"/>
      <c r="G26" s="2"/>
      <c r="O26" s="2"/>
      <c r="P26" s="2"/>
      <c r="Q26" s="82"/>
      <c r="R26" s="2"/>
      <c r="S26" s="745"/>
    </row>
    <row r="27" spans="1:32" ht="20.100000000000001" customHeight="1" x14ac:dyDescent="0.25">
      <c r="A27" s="30" t="str">
        <f>'Лайт+АКУСТИК DDP'!A79</f>
        <v>Категория "С" - это товары "под заказ", и сроки индивидуально оговариваются с клиентом (заявки принимаются в объеме не менее 10 тонн, кратно поддону)</v>
      </c>
      <c r="B27" s="2"/>
      <c r="G27" s="2"/>
      <c r="O27" s="2"/>
      <c r="P27" s="2"/>
      <c r="Q27" s="82"/>
      <c r="R27" s="2"/>
      <c r="S27" s="745"/>
    </row>
    <row r="28" spans="1:32" ht="20.100000000000001" customHeight="1" x14ac:dyDescent="0.25">
      <c r="A28" s="957"/>
      <c r="B28" s="956"/>
      <c r="G28" s="2"/>
      <c r="O28" s="2"/>
      <c r="P28" s="2"/>
      <c r="Q28" s="82"/>
      <c r="R28" s="2"/>
      <c r="S28" s="745"/>
    </row>
    <row r="29" spans="1:32" ht="20.100000000000001" customHeight="1" x14ac:dyDescent="0.25">
      <c r="A29" s="26"/>
      <c r="B29" s="955"/>
      <c r="G29" s="2"/>
      <c r="L29" s="1245"/>
      <c r="M29" s="1245"/>
      <c r="O29" s="81"/>
      <c r="P29" s="2"/>
      <c r="Q29" s="82"/>
      <c r="R29" s="2"/>
      <c r="S29" s="745"/>
    </row>
  </sheetData>
  <mergeCells count="17">
    <mergeCell ref="J21:M21"/>
    <mergeCell ref="J22:M22"/>
    <mergeCell ref="J23:M23"/>
    <mergeCell ref="L24:M24"/>
    <mergeCell ref="L29:M29"/>
    <mergeCell ref="B3:H4"/>
    <mergeCell ref="H7:I7"/>
    <mergeCell ref="J7:K7"/>
    <mergeCell ref="L7:M7"/>
    <mergeCell ref="N7:O7"/>
    <mergeCell ref="J20:M20"/>
    <mergeCell ref="A7:A8"/>
    <mergeCell ref="B7:B8"/>
    <mergeCell ref="C7:C8"/>
    <mergeCell ref="D7:D8"/>
    <mergeCell ref="E7:F8"/>
    <mergeCell ref="G7:G8"/>
  </mergeCells>
  <pageMargins left="0.7" right="0.7" top="0.75" bottom="0.75" header="0.3" footer="0.3"/>
  <pageSetup paperSize="9" scale="4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571" r:id="rId4" name="Drop Down 3">
              <controlPr defaultSize="0" autoLine="0" autoPict="0">
                <anchor moveWithCells="1">
                  <from>
                    <xdr:col>8</xdr:col>
                    <xdr:colOff>28575</xdr:colOff>
                    <xdr:row>1</xdr:row>
                    <xdr:rowOff>161925</xdr:rowOff>
                  </from>
                  <to>
                    <xdr:col>10</xdr:col>
                    <xdr:colOff>933450</xdr:colOff>
                    <xdr:row>2</xdr:row>
                    <xdr:rowOff>190500</xdr:rowOff>
                  </to>
                </anchor>
              </controlPr>
            </control>
          </mc:Choice>
        </mc:AlternateContent>
        <mc:AlternateContent xmlns:mc="http://schemas.openxmlformats.org/markup-compatibility/2006">
          <mc:Choice Requires="x14">
            <control shapeId="109572" r:id="rId5" name="Drop Down 4">
              <controlPr defaultSize="0" autoLine="0" autoPict="0">
                <anchor moveWithCells="1">
                  <from>
                    <xdr:col>8</xdr:col>
                    <xdr:colOff>57150</xdr:colOff>
                    <xdr:row>2</xdr:row>
                    <xdr:rowOff>438150</xdr:rowOff>
                  </from>
                  <to>
                    <xdr:col>9</xdr:col>
                    <xdr:colOff>209550</xdr:colOff>
                    <xdr:row>2</xdr:row>
                    <xdr:rowOff>800100</xdr:rowOff>
                  </to>
                </anchor>
              </controlPr>
            </control>
          </mc:Choice>
        </mc:AlternateContent>
        <mc:AlternateContent xmlns:mc="http://schemas.openxmlformats.org/markup-compatibility/2006">
          <mc:Choice Requires="x14">
            <control shapeId="109573" r:id="rId6" name="Drop Down 5">
              <controlPr defaultSize="0" autoLine="0" autoPict="0">
                <anchor moveWithCells="1">
                  <from>
                    <xdr:col>9</xdr:col>
                    <xdr:colOff>790575</xdr:colOff>
                    <xdr:row>2</xdr:row>
                    <xdr:rowOff>447675</xdr:rowOff>
                  </from>
                  <to>
                    <xdr:col>10</xdr:col>
                    <xdr:colOff>952500</xdr:colOff>
                    <xdr:row>2</xdr:row>
                    <xdr:rowOff>809625</xdr:rowOff>
                  </to>
                </anchor>
              </controlPr>
            </control>
          </mc:Choice>
        </mc:AlternateContent>
      </controls>
    </mc:Choice>
  </mc:AlternateConten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rgb="FFFFFF00"/>
  </sheetPr>
  <dimension ref="A1:C30"/>
  <sheetViews>
    <sheetView workbookViewId="0">
      <selection activeCell="I32" sqref="I32"/>
    </sheetView>
  </sheetViews>
  <sheetFormatPr defaultRowHeight="12.75" x14ac:dyDescent="0.2"/>
  <cols>
    <col min="1" max="1" width="49" style="1201" customWidth="1"/>
    <col min="2" max="2" width="25" style="1201" customWidth="1"/>
    <col min="3" max="256" width="9.140625" style="1201"/>
    <col min="257" max="257" width="49" style="1201" customWidth="1"/>
    <col min="258" max="258" width="25" style="1201" customWidth="1"/>
    <col min="259" max="512" width="9.140625" style="1201"/>
    <col min="513" max="513" width="49" style="1201" customWidth="1"/>
    <col min="514" max="514" width="25" style="1201" customWidth="1"/>
    <col min="515" max="768" width="9.140625" style="1201"/>
    <col min="769" max="769" width="49" style="1201" customWidth="1"/>
    <col min="770" max="770" width="25" style="1201" customWidth="1"/>
    <col min="771" max="1024" width="9.140625" style="1201"/>
    <col min="1025" max="1025" width="49" style="1201" customWidth="1"/>
    <col min="1026" max="1026" width="25" style="1201" customWidth="1"/>
    <col min="1027" max="1280" width="9.140625" style="1201"/>
    <col min="1281" max="1281" width="49" style="1201" customWidth="1"/>
    <col min="1282" max="1282" width="25" style="1201" customWidth="1"/>
    <col min="1283" max="1536" width="9.140625" style="1201"/>
    <col min="1537" max="1537" width="49" style="1201" customWidth="1"/>
    <col min="1538" max="1538" width="25" style="1201" customWidth="1"/>
    <col min="1539" max="1792" width="9.140625" style="1201"/>
    <col min="1793" max="1793" width="49" style="1201" customWidth="1"/>
    <col min="1794" max="1794" width="25" style="1201" customWidth="1"/>
    <col min="1795" max="2048" width="9.140625" style="1201"/>
    <col min="2049" max="2049" width="49" style="1201" customWidth="1"/>
    <col min="2050" max="2050" width="25" style="1201" customWidth="1"/>
    <col min="2051" max="2304" width="9.140625" style="1201"/>
    <col min="2305" max="2305" width="49" style="1201" customWidth="1"/>
    <col min="2306" max="2306" width="25" style="1201" customWidth="1"/>
    <col min="2307" max="2560" width="9.140625" style="1201"/>
    <col min="2561" max="2561" width="49" style="1201" customWidth="1"/>
    <col min="2562" max="2562" width="25" style="1201" customWidth="1"/>
    <col min="2563" max="2816" width="9.140625" style="1201"/>
    <col min="2817" max="2817" width="49" style="1201" customWidth="1"/>
    <col min="2818" max="2818" width="25" style="1201" customWidth="1"/>
    <col min="2819" max="3072" width="9.140625" style="1201"/>
    <col min="3073" max="3073" width="49" style="1201" customWidth="1"/>
    <col min="3074" max="3074" width="25" style="1201" customWidth="1"/>
    <col min="3075" max="3328" width="9.140625" style="1201"/>
    <col min="3329" max="3329" width="49" style="1201" customWidth="1"/>
    <col min="3330" max="3330" width="25" style="1201" customWidth="1"/>
    <col min="3331" max="3584" width="9.140625" style="1201"/>
    <col min="3585" max="3585" width="49" style="1201" customWidth="1"/>
    <col min="3586" max="3586" width="25" style="1201" customWidth="1"/>
    <col min="3587" max="3840" width="9.140625" style="1201"/>
    <col min="3841" max="3841" width="49" style="1201" customWidth="1"/>
    <col min="3842" max="3842" width="25" style="1201" customWidth="1"/>
    <col min="3843" max="4096" width="9.140625" style="1201"/>
    <col min="4097" max="4097" width="49" style="1201" customWidth="1"/>
    <col min="4098" max="4098" width="25" style="1201" customWidth="1"/>
    <col min="4099" max="4352" width="9.140625" style="1201"/>
    <col min="4353" max="4353" width="49" style="1201" customWidth="1"/>
    <col min="4354" max="4354" width="25" style="1201" customWidth="1"/>
    <col min="4355" max="4608" width="9.140625" style="1201"/>
    <col min="4609" max="4609" width="49" style="1201" customWidth="1"/>
    <col min="4610" max="4610" width="25" style="1201" customWidth="1"/>
    <col min="4611" max="4864" width="9.140625" style="1201"/>
    <col min="4865" max="4865" width="49" style="1201" customWidth="1"/>
    <col min="4866" max="4866" width="25" style="1201" customWidth="1"/>
    <col min="4867" max="5120" width="9.140625" style="1201"/>
    <col min="5121" max="5121" width="49" style="1201" customWidth="1"/>
    <col min="5122" max="5122" width="25" style="1201" customWidth="1"/>
    <col min="5123" max="5376" width="9.140625" style="1201"/>
    <col min="5377" max="5377" width="49" style="1201" customWidth="1"/>
    <col min="5378" max="5378" width="25" style="1201" customWidth="1"/>
    <col min="5379" max="5632" width="9.140625" style="1201"/>
    <col min="5633" max="5633" width="49" style="1201" customWidth="1"/>
    <col min="5634" max="5634" width="25" style="1201" customWidth="1"/>
    <col min="5635" max="5888" width="9.140625" style="1201"/>
    <col min="5889" max="5889" width="49" style="1201" customWidth="1"/>
    <col min="5890" max="5890" width="25" style="1201" customWidth="1"/>
    <col min="5891" max="6144" width="9.140625" style="1201"/>
    <col min="6145" max="6145" width="49" style="1201" customWidth="1"/>
    <col min="6146" max="6146" width="25" style="1201" customWidth="1"/>
    <col min="6147" max="6400" width="9.140625" style="1201"/>
    <col min="6401" max="6401" width="49" style="1201" customWidth="1"/>
    <col min="6402" max="6402" width="25" style="1201" customWidth="1"/>
    <col min="6403" max="6656" width="9.140625" style="1201"/>
    <col min="6657" max="6657" width="49" style="1201" customWidth="1"/>
    <col min="6658" max="6658" width="25" style="1201" customWidth="1"/>
    <col min="6659" max="6912" width="9.140625" style="1201"/>
    <col min="6913" max="6913" width="49" style="1201" customWidth="1"/>
    <col min="6914" max="6914" width="25" style="1201" customWidth="1"/>
    <col min="6915" max="7168" width="9.140625" style="1201"/>
    <col min="7169" max="7169" width="49" style="1201" customWidth="1"/>
    <col min="7170" max="7170" width="25" style="1201" customWidth="1"/>
    <col min="7171" max="7424" width="9.140625" style="1201"/>
    <col min="7425" max="7425" width="49" style="1201" customWidth="1"/>
    <col min="7426" max="7426" width="25" style="1201" customWidth="1"/>
    <col min="7427" max="7680" width="9.140625" style="1201"/>
    <col min="7681" max="7681" width="49" style="1201" customWidth="1"/>
    <col min="7682" max="7682" width="25" style="1201" customWidth="1"/>
    <col min="7683" max="7936" width="9.140625" style="1201"/>
    <col min="7937" max="7937" width="49" style="1201" customWidth="1"/>
    <col min="7938" max="7938" width="25" style="1201" customWidth="1"/>
    <col min="7939" max="8192" width="9.140625" style="1201"/>
    <col min="8193" max="8193" width="49" style="1201" customWidth="1"/>
    <col min="8194" max="8194" width="25" style="1201" customWidth="1"/>
    <col min="8195" max="8448" width="9.140625" style="1201"/>
    <col min="8449" max="8449" width="49" style="1201" customWidth="1"/>
    <col min="8450" max="8450" width="25" style="1201" customWidth="1"/>
    <col min="8451" max="8704" width="9.140625" style="1201"/>
    <col min="8705" max="8705" width="49" style="1201" customWidth="1"/>
    <col min="8706" max="8706" width="25" style="1201" customWidth="1"/>
    <col min="8707" max="8960" width="9.140625" style="1201"/>
    <col min="8961" max="8961" width="49" style="1201" customWidth="1"/>
    <col min="8962" max="8962" width="25" style="1201" customWidth="1"/>
    <col min="8963" max="9216" width="9.140625" style="1201"/>
    <col min="9217" max="9217" width="49" style="1201" customWidth="1"/>
    <col min="9218" max="9218" width="25" style="1201" customWidth="1"/>
    <col min="9219" max="9472" width="9.140625" style="1201"/>
    <col min="9473" max="9473" width="49" style="1201" customWidth="1"/>
    <col min="9474" max="9474" width="25" style="1201" customWidth="1"/>
    <col min="9475" max="9728" width="9.140625" style="1201"/>
    <col min="9729" max="9729" width="49" style="1201" customWidth="1"/>
    <col min="9730" max="9730" width="25" style="1201" customWidth="1"/>
    <col min="9731" max="9984" width="9.140625" style="1201"/>
    <col min="9985" max="9985" width="49" style="1201" customWidth="1"/>
    <col min="9986" max="9986" width="25" style="1201" customWidth="1"/>
    <col min="9987" max="10240" width="9.140625" style="1201"/>
    <col min="10241" max="10241" width="49" style="1201" customWidth="1"/>
    <col min="10242" max="10242" width="25" style="1201" customWidth="1"/>
    <col min="10243" max="10496" width="9.140625" style="1201"/>
    <col min="10497" max="10497" width="49" style="1201" customWidth="1"/>
    <col min="10498" max="10498" width="25" style="1201" customWidth="1"/>
    <col min="10499" max="10752" width="9.140625" style="1201"/>
    <col min="10753" max="10753" width="49" style="1201" customWidth="1"/>
    <col min="10754" max="10754" width="25" style="1201" customWidth="1"/>
    <col min="10755" max="11008" width="9.140625" style="1201"/>
    <col min="11009" max="11009" width="49" style="1201" customWidth="1"/>
    <col min="11010" max="11010" width="25" style="1201" customWidth="1"/>
    <col min="11011" max="11264" width="9.140625" style="1201"/>
    <col min="11265" max="11265" width="49" style="1201" customWidth="1"/>
    <col min="11266" max="11266" width="25" style="1201" customWidth="1"/>
    <col min="11267" max="11520" width="9.140625" style="1201"/>
    <col min="11521" max="11521" width="49" style="1201" customWidth="1"/>
    <col min="11522" max="11522" width="25" style="1201" customWidth="1"/>
    <col min="11523" max="11776" width="9.140625" style="1201"/>
    <col min="11777" max="11777" width="49" style="1201" customWidth="1"/>
    <col min="11778" max="11778" width="25" style="1201" customWidth="1"/>
    <col min="11779" max="12032" width="9.140625" style="1201"/>
    <col min="12033" max="12033" width="49" style="1201" customWidth="1"/>
    <col min="12034" max="12034" width="25" style="1201" customWidth="1"/>
    <col min="12035" max="12288" width="9.140625" style="1201"/>
    <col min="12289" max="12289" width="49" style="1201" customWidth="1"/>
    <col min="12290" max="12290" width="25" style="1201" customWidth="1"/>
    <col min="12291" max="12544" width="9.140625" style="1201"/>
    <col min="12545" max="12545" width="49" style="1201" customWidth="1"/>
    <col min="12546" max="12546" width="25" style="1201" customWidth="1"/>
    <col min="12547" max="12800" width="9.140625" style="1201"/>
    <col min="12801" max="12801" width="49" style="1201" customWidth="1"/>
    <col min="12802" max="12802" width="25" style="1201" customWidth="1"/>
    <col min="12803" max="13056" width="9.140625" style="1201"/>
    <col min="13057" max="13057" width="49" style="1201" customWidth="1"/>
    <col min="13058" max="13058" width="25" style="1201" customWidth="1"/>
    <col min="13059" max="13312" width="9.140625" style="1201"/>
    <col min="13313" max="13313" width="49" style="1201" customWidth="1"/>
    <col min="13314" max="13314" width="25" style="1201" customWidth="1"/>
    <col min="13315" max="13568" width="9.140625" style="1201"/>
    <col min="13569" max="13569" width="49" style="1201" customWidth="1"/>
    <col min="13570" max="13570" width="25" style="1201" customWidth="1"/>
    <col min="13571" max="13824" width="9.140625" style="1201"/>
    <col min="13825" max="13825" width="49" style="1201" customWidth="1"/>
    <col min="13826" max="13826" width="25" style="1201" customWidth="1"/>
    <col min="13827" max="14080" width="9.140625" style="1201"/>
    <col min="14081" max="14081" width="49" style="1201" customWidth="1"/>
    <col min="14082" max="14082" width="25" style="1201" customWidth="1"/>
    <col min="14083" max="14336" width="9.140625" style="1201"/>
    <col min="14337" max="14337" width="49" style="1201" customWidth="1"/>
    <col min="14338" max="14338" width="25" style="1201" customWidth="1"/>
    <col min="14339" max="14592" width="9.140625" style="1201"/>
    <col min="14593" max="14593" width="49" style="1201" customWidth="1"/>
    <col min="14594" max="14594" width="25" style="1201" customWidth="1"/>
    <col min="14595" max="14848" width="9.140625" style="1201"/>
    <col min="14849" max="14849" width="49" style="1201" customWidth="1"/>
    <col min="14850" max="14850" width="25" style="1201" customWidth="1"/>
    <col min="14851" max="15104" width="9.140625" style="1201"/>
    <col min="15105" max="15105" width="49" style="1201" customWidth="1"/>
    <col min="15106" max="15106" width="25" style="1201" customWidth="1"/>
    <col min="15107" max="15360" width="9.140625" style="1201"/>
    <col min="15361" max="15361" width="49" style="1201" customWidth="1"/>
    <col min="15362" max="15362" width="25" style="1201" customWidth="1"/>
    <col min="15363" max="15616" width="9.140625" style="1201"/>
    <col min="15617" max="15617" width="49" style="1201" customWidth="1"/>
    <col min="15618" max="15618" width="25" style="1201" customWidth="1"/>
    <col min="15619" max="15872" width="9.140625" style="1201"/>
    <col min="15873" max="15873" width="49" style="1201" customWidth="1"/>
    <col min="15874" max="15874" width="25" style="1201" customWidth="1"/>
    <col min="15875" max="16128" width="9.140625" style="1201"/>
    <col min="16129" max="16129" width="49" style="1201" customWidth="1"/>
    <col min="16130" max="16130" width="25" style="1201" customWidth="1"/>
    <col min="16131" max="16384" width="9.140625" style="1201"/>
  </cols>
  <sheetData>
    <row r="1" spans="1:3" x14ac:dyDescent="0.2">
      <c r="A1" s="659"/>
    </row>
    <row r="2" spans="1:3" ht="15.75" thickBot="1" x14ac:dyDescent="0.3">
      <c r="A2" s="623"/>
      <c r="B2" s="1202"/>
      <c r="C2" s="1203"/>
    </row>
    <row r="3" spans="1:3" ht="13.5" thickBot="1" x14ac:dyDescent="0.25">
      <c r="A3" s="1210"/>
      <c r="B3" s="1211"/>
      <c r="C3" s="1203"/>
    </row>
    <row r="4" spans="1:3" ht="15.75" thickBot="1" x14ac:dyDescent="0.25">
      <c r="A4" s="1212"/>
      <c r="B4" s="1213"/>
      <c r="C4" s="1203"/>
    </row>
    <row r="5" spans="1:3" ht="15.75" thickBot="1" x14ac:dyDescent="0.25">
      <c r="A5" s="1212"/>
      <c r="B5" s="1214"/>
      <c r="C5" s="1203"/>
    </row>
    <row r="6" spans="1:3" ht="15.75" thickBot="1" x14ac:dyDescent="0.25">
      <c r="A6" s="1208"/>
      <c r="B6" s="1209"/>
      <c r="C6" s="1203"/>
    </row>
    <row r="7" spans="1:3" ht="15.75" thickBot="1" x14ac:dyDescent="0.25">
      <c r="A7" s="1212"/>
      <c r="B7" s="1214"/>
      <c r="C7" s="1203"/>
    </row>
    <row r="8" spans="1:3" ht="15.75" thickBot="1" x14ac:dyDescent="0.25">
      <c r="A8" s="1212"/>
      <c r="B8" s="1214"/>
      <c r="C8" s="1203"/>
    </row>
    <row r="9" spans="1:3" ht="15.75" thickBot="1" x14ac:dyDescent="0.25">
      <c r="A9" s="1212"/>
      <c r="B9" s="1214"/>
      <c r="C9" s="1203"/>
    </row>
    <row r="10" spans="1:3" ht="15.75" thickBot="1" x14ac:dyDescent="0.25">
      <c r="A10" s="1212"/>
      <c r="B10" s="1214"/>
      <c r="C10" s="1203"/>
    </row>
    <row r="11" spans="1:3" ht="15.75" thickBot="1" x14ac:dyDescent="0.25">
      <c r="A11" s="1212"/>
      <c r="B11" s="1214"/>
      <c r="C11" s="1203"/>
    </row>
    <row r="12" spans="1:3" ht="15.75" thickBot="1" x14ac:dyDescent="0.25">
      <c r="A12" s="1212"/>
      <c r="B12" s="1214"/>
      <c r="C12" s="1203"/>
    </row>
    <row r="13" spans="1:3" ht="15.75" thickBot="1" x14ac:dyDescent="0.25">
      <c r="A13" s="1212"/>
      <c r="B13" s="1214"/>
      <c r="C13" s="1203"/>
    </row>
    <row r="14" spans="1:3" ht="15.75" thickBot="1" x14ac:dyDescent="0.25">
      <c r="A14" s="1212"/>
      <c r="B14" s="1214"/>
      <c r="C14" s="1203"/>
    </row>
    <row r="15" spans="1:3" ht="15.75" thickBot="1" x14ac:dyDescent="0.25">
      <c r="A15" s="1212"/>
      <c r="B15" s="1214"/>
      <c r="C15" s="1203"/>
    </row>
    <row r="16" spans="1:3" ht="15.75" thickBot="1" x14ac:dyDescent="0.25">
      <c r="A16" s="1212"/>
      <c r="B16" s="1214"/>
      <c r="C16" s="1203"/>
    </row>
    <row r="17" spans="1:3" ht="15.75" thickBot="1" x14ac:dyDescent="0.25">
      <c r="A17" s="1212"/>
      <c r="B17" s="1213"/>
      <c r="C17" s="1203"/>
    </row>
    <row r="18" spans="1:3" ht="15.75" thickBot="1" x14ac:dyDescent="0.25">
      <c r="A18" s="1212"/>
      <c r="B18" s="1214"/>
      <c r="C18" s="1203"/>
    </row>
    <row r="19" spans="1:3" ht="15.75" thickBot="1" x14ac:dyDescent="0.25">
      <c r="A19" s="1212"/>
      <c r="B19" s="1214"/>
      <c r="C19" s="1203"/>
    </row>
    <row r="20" spans="1:3" ht="15.75" thickBot="1" x14ac:dyDescent="0.25">
      <c r="A20" s="1212"/>
      <c r="B20" s="1214"/>
      <c r="C20" s="1203"/>
    </row>
    <row r="21" spans="1:3" x14ac:dyDescent="0.2">
      <c r="A21" s="658"/>
      <c r="B21" s="658"/>
      <c r="C21" s="658"/>
    </row>
    <row r="22" spans="1:3" x14ac:dyDescent="0.2">
      <c r="A22" s="1215"/>
      <c r="B22" s="1203"/>
      <c r="C22" s="1203"/>
    </row>
    <row r="23" spans="1:3" hidden="1" x14ac:dyDescent="0.2">
      <c r="A23" s="623"/>
      <c r="B23" s="1204"/>
    </row>
    <row r="24" spans="1:3" hidden="1" x14ac:dyDescent="0.2">
      <c r="A24" s="624"/>
      <c r="B24" s="624"/>
    </row>
    <row r="25" spans="1:3" ht="15.75" hidden="1" x14ac:dyDescent="0.25">
      <c r="A25" s="1205"/>
      <c r="B25" s="1206"/>
    </row>
    <row r="26" spans="1:3" ht="15.75" hidden="1" x14ac:dyDescent="0.25">
      <c r="A26" s="1205"/>
      <c r="B26" s="1206"/>
    </row>
    <row r="27" spans="1:3" ht="15.75" hidden="1" x14ac:dyDescent="0.25">
      <c r="A27" s="1205"/>
      <c r="B27" s="1206"/>
    </row>
    <row r="28" spans="1:3" ht="15.75" hidden="1" x14ac:dyDescent="0.25">
      <c r="A28" s="1205"/>
      <c r="B28" s="1206"/>
    </row>
    <row r="29" spans="1:3" hidden="1" x14ac:dyDescent="0.2"/>
    <row r="30" spans="1:3" ht="15.75" hidden="1" x14ac:dyDescent="0.25">
      <c r="A30" s="1207"/>
    </row>
  </sheetData>
  <phoneticPr fontId="65"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Y113"/>
  <sheetViews>
    <sheetView showGridLines="0" view="pageBreakPreview" zoomScale="75" zoomScaleNormal="100" zoomScaleSheetLayoutView="75" workbookViewId="0">
      <pane xSplit="1" ySplit="7" topLeftCell="B74" activePane="bottomRight" state="frozen"/>
      <selection sqref="A1:IV65536"/>
      <selection pane="topRight" sqref="A1:IV65536"/>
      <selection pane="bottomLeft" sqref="A1:IV65536"/>
      <selection pane="bottomRight" activeCell="R67" sqref="R67"/>
    </sheetView>
  </sheetViews>
  <sheetFormatPr defaultColWidth="11.42578125" defaultRowHeight="18" x14ac:dyDescent="0.25"/>
  <cols>
    <col min="1" max="1" width="38.7109375" style="3" customWidth="1"/>
    <col min="2" max="4" width="9.7109375" style="2" customWidth="1"/>
    <col min="5" max="5" width="6.140625" style="71" customWidth="1"/>
    <col min="6" max="7" width="11.140625" style="71" hidden="1" customWidth="1"/>
    <col min="8" max="8" width="18.140625" style="71" customWidth="1"/>
    <col min="9" max="9" width="11.140625" style="71" customWidth="1"/>
    <col min="10" max="10" width="9.28515625" style="4" customWidth="1"/>
    <col min="11" max="11" width="11.5703125" style="2" customWidth="1"/>
    <col min="12" max="12" width="11.5703125" style="5" customWidth="1"/>
    <col min="13" max="13" width="11.5703125" style="4" customWidth="1"/>
    <col min="14" max="14" width="13.85546875" style="56" customWidth="1"/>
    <col min="15" max="15" width="11.5703125" style="2" customWidth="1"/>
    <col min="16" max="16" width="11.5703125" style="5" customWidth="1"/>
    <col min="17" max="17" width="15.140625" style="2" customWidth="1"/>
    <col min="18" max="18" width="11.85546875" style="2" customWidth="1"/>
    <col min="19" max="19" width="14" style="2" customWidth="1"/>
    <col min="20" max="20" width="11.42578125" style="2"/>
    <col min="21" max="21" width="9.140625" customWidth="1"/>
    <col min="22" max="22" width="10.28515625" customWidth="1"/>
    <col min="23" max="23" width="9.42578125" style="85" customWidth="1"/>
    <col min="24" max="25" width="9.140625" customWidth="1"/>
    <col min="26" max="16384" width="11.42578125" style="2"/>
  </cols>
  <sheetData>
    <row r="1" spans="1:25" ht="26.25" x14ac:dyDescent="0.4">
      <c r="A1" s="75" t="s">
        <v>19</v>
      </c>
    </row>
    <row r="2" spans="1:25" s="27" customFormat="1" ht="26.25" x14ac:dyDescent="0.4">
      <c r="A2" s="75" t="s">
        <v>20</v>
      </c>
      <c r="E2" s="72"/>
      <c r="F2" s="72"/>
      <c r="G2" s="72"/>
      <c r="H2" s="72"/>
      <c r="I2" s="72"/>
      <c r="J2" s="28"/>
      <c r="L2" s="29"/>
      <c r="M2" s="28"/>
      <c r="N2" s="57"/>
      <c r="P2" s="29"/>
      <c r="W2" s="83"/>
    </row>
    <row r="3" spans="1:25" s="27" customFormat="1" ht="60" customHeight="1" x14ac:dyDescent="0.4">
      <c r="A3" s="2" t="s">
        <v>53</v>
      </c>
      <c r="E3" s="72"/>
      <c r="F3" s="72"/>
      <c r="G3" s="72"/>
      <c r="H3" s="72"/>
      <c r="I3" s="72"/>
      <c r="J3" s="28"/>
      <c r="L3" s="29"/>
      <c r="M3" s="28"/>
      <c r="N3" s="57"/>
      <c r="P3" s="29"/>
      <c r="W3" s="83"/>
    </row>
    <row r="4" spans="1:25" x14ac:dyDescent="0.25">
      <c r="A4" s="1248" t="str">
        <f>'ЛАЙТ Рязань'!A4</f>
        <v>03.03.2011г.</v>
      </c>
      <c r="B4" s="1249"/>
      <c r="C4" s="1249"/>
      <c r="D4" s="1249"/>
      <c r="E4" s="1249"/>
      <c r="F4" s="1249"/>
      <c r="G4" s="1249"/>
      <c r="H4" s="1249"/>
      <c r="I4" s="1249"/>
      <c r="J4" s="1249"/>
      <c r="K4" s="1249"/>
      <c r="L4" s="1249"/>
      <c r="M4" s="1249"/>
      <c r="N4" s="1249"/>
      <c r="O4" s="1249"/>
      <c r="P4" s="1249"/>
      <c r="Q4" s="1249"/>
      <c r="R4" s="1249"/>
      <c r="S4" s="1249"/>
      <c r="T4" s="7"/>
    </row>
    <row r="5" spans="1:25" ht="18.75" thickBot="1" x14ac:dyDescent="0.3">
      <c r="A5" s="6"/>
      <c r="B5" s="7"/>
      <c r="C5" s="7"/>
      <c r="D5" s="7"/>
      <c r="E5" s="73"/>
      <c r="F5" s="73"/>
      <c r="G5" s="73"/>
      <c r="H5" s="73"/>
      <c r="I5" s="73"/>
      <c r="J5" s="7"/>
      <c r="K5" s="7"/>
      <c r="L5" s="7"/>
      <c r="M5" s="67"/>
      <c r="N5" s="58"/>
      <c r="O5" s="7"/>
      <c r="P5" s="7"/>
      <c r="Q5" s="7"/>
      <c r="R5" s="7"/>
      <c r="S5" s="7"/>
      <c r="T5" s="7"/>
    </row>
    <row r="6" spans="1:25" ht="72.75" customHeight="1" thickBot="1" x14ac:dyDescent="0.3">
      <c r="A6" s="1250" t="s">
        <v>0</v>
      </c>
      <c r="B6" s="1252" t="s">
        <v>1</v>
      </c>
      <c r="C6" s="1254" t="s">
        <v>2</v>
      </c>
      <c r="D6" s="1256" t="s">
        <v>3</v>
      </c>
      <c r="E6" s="1260" t="s">
        <v>36</v>
      </c>
      <c r="F6" s="1260" t="s">
        <v>56</v>
      </c>
      <c r="G6" s="109"/>
      <c r="H6" s="1260" t="s">
        <v>133</v>
      </c>
      <c r="I6" s="1260" t="s">
        <v>56</v>
      </c>
      <c r="J6" s="1276" t="s">
        <v>49</v>
      </c>
      <c r="K6" s="1277"/>
      <c r="L6" s="1278"/>
      <c r="M6" s="1273" t="s">
        <v>48</v>
      </c>
      <c r="N6" s="1274"/>
      <c r="O6" s="1265" t="s">
        <v>44</v>
      </c>
      <c r="P6" s="1266"/>
      <c r="Q6" s="1264" t="s">
        <v>340</v>
      </c>
      <c r="R6" s="1265"/>
      <c r="S6" s="1266"/>
    </row>
    <row r="7" spans="1:25" ht="57.75" customHeight="1" thickBot="1" x14ac:dyDescent="0.3">
      <c r="A7" s="1251"/>
      <c r="B7" s="1253"/>
      <c r="C7" s="1255"/>
      <c r="D7" s="1257"/>
      <c r="E7" s="1263"/>
      <c r="F7" s="1262"/>
      <c r="G7" s="110"/>
      <c r="H7" s="1263"/>
      <c r="I7" s="1262"/>
      <c r="J7" s="472" t="s">
        <v>5</v>
      </c>
      <c r="K7" s="473" t="s">
        <v>17</v>
      </c>
      <c r="L7" s="474" t="s">
        <v>18</v>
      </c>
      <c r="M7" s="475" t="s">
        <v>47</v>
      </c>
      <c r="N7" s="476" t="s">
        <v>18</v>
      </c>
      <c r="O7" s="477" t="s">
        <v>43</v>
      </c>
      <c r="P7" s="478" t="s">
        <v>42</v>
      </c>
      <c r="Q7" s="458" t="s">
        <v>6</v>
      </c>
      <c r="R7" s="54" t="s">
        <v>18</v>
      </c>
      <c r="S7" s="41" t="s">
        <v>22</v>
      </c>
      <c r="T7" s="3"/>
      <c r="U7" s="3"/>
      <c r="V7" s="3"/>
      <c r="W7" s="82"/>
      <c r="X7" s="2"/>
    </row>
    <row r="8" spans="1:25" ht="20.100000000000001" customHeight="1" thickBot="1" x14ac:dyDescent="0.3">
      <c r="A8" s="35" t="s">
        <v>10</v>
      </c>
      <c r="B8" s="252">
        <v>1200</v>
      </c>
      <c r="C8" s="250">
        <v>600</v>
      </c>
      <c r="D8" s="251">
        <v>50</v>
      </c>
      <c r="E8" s="238" t="s">
        <v>238</v>
      </c>
      <c r="F8" s="278"/>
      <c r="G8" s="278"/>
      <c r="H8" s="326" t="s">
        <v>134</v>
      </c>
      <c r="I8" s="592" t="str">
        <f>IF(E8="C",ROUNDUP(5500/80/ФасадDDP!O8,0)*ФасадDDP!O8," ")</f>
        <v xml:space="preserve"> </v>
      </c>
      <c r="J8" s="311">
        <v>6</v>
      </c>
      <c r="K8" s="323">
        <v>4.32</v>
      </c>
      <c r="L8" s="327">
        <v>0.216</v>
      </c>
      <c r="M8" s="281">
        <v>32</v>
      </c>
      <c r="N8" s="283">
        <v>6.9119999999999999</v>
      </c>
      <c r="O8" s="229">
        <v>76.031999999999996</v>
      </c>
      <c r="P8" s="321"/>
      <c r="Q8" s="88">
        <f>L8*R8</f>
        <v>800.71199999999999</v>
      </c>
      <c r="R8" s="224">
        <v>3707</v>
      </c>
      <c r="S8" s="101">
        <f>R8*D8/1000</f>
        <v>185.35</v>
      </c>
      <c r="U8" s="4"/>
      <c r="V8" s="82"/>
      <c r="W8" s="82"/>
      <c r="X8" s="4"/>
      <c r="Y8" s="2"/>
    </row>
    <row r="9" spans="1:25" ht="20.100000000000001" customHeight="1" thickBot="1" x14ac:dyDescent="0.3">
      <c r="A9" s="1246" t="s">
        <v>27</v>
      </c>
      <c r="B9" s="203">
        <v>1200</v>
      </c>
      <c r="C9" s="204">
        <v>600</v>
      </c>
      <c r="D9" s="209">
        <v>60</v>
      </c>
      <c r="E9" s="238" t="s">
        <v>339</v>
      </c>
      <c r="F9" s="263">
        <v>125</v>
      </c>
      <c r="G9" s="263">
        <v>18.08449074074074</v>
      </c>
      <c r="H9" s="264" t="s">
        <v>135</v>
      </c>
      <c r="I9" s="592">
        <f>IF(E9="C",ROUNDUP(5500/80/ФасадDDP!O9,0)*ФасадDDP!O9," ")</f>
        <v>69.12</v>
      </c>
      <c r="J9" s="97">
        <v>5</v>
      </c>
      <c r="K9" s="166">
        <v>2.88</v>
      </c>
      <c r="L9" s="169">
        <v>0.17279999999999998</v>
      </c>
      <c r="M9" s="97">
        <v>32</v>
      </c>
      <c r="N9" s="126">
        <v>6.9119999999999999</v>
      </c>
      <c r="O9" s="231">
        <v>76.031999999999996</v>
      </c>
      <c r="P9" s="266"/>
      <c r="Q9" s="88">
        <f t="shared" ref="Q9:Q66" si="0">L9*R9</f>
        <v>640.56959999999992</v>
      </c>
      <c r="R9" s="224">
        <f>R8</f>
        <v>3707</v>
      </c>
      <c r="S9" s="101">
        <f t="shared" ref="S9:S23" si="1">R9*D9/1000</f>
        <v>222.42</v>
      </c>
      <c r="U9" s="4"/>
      <c r="V9" s="82"/>
      <c r="W9" s="82"/>
      <c r="X9" s="4"/>
      <c r="Y9" s="2"/>
    </row>
    <row r="10" spans="1:25" ht="20.100000000000001" customHeight="1" thickBot="1" x14ac:dyDescent="0.3">
      <c r="A10" s="1246"/>
      <c r="B10" s="203">
        <v>1200</v>
      </c>
      <c r="C10" s="204">
        <v>600</v>
      </c>
      <c r="D10" s="209">
        <v>70</v>
      </c>
      <c r="E10" s="238" t="s">
        <v>339</v>
      </c>
      <c r="F10" s="263">
        <v>125</v>
      </c>
      <c r="G10" s="263">
        <v>19.376240079365079</v>
      </c>
      <c r="H10" s="264" t="s">
        <v>136</v>
      </c>
      <c r="I10" s="592">
        <f>IF(E10="C",ROUNDUP(5500/80/ФасадDDP!O10,0)*ФасадDDP!O10," ")</f>
        <v>70.963200000000001</v>
      </c>
      <c r="J10" s="97">
        <v>4</v>
      </c>
      <c r="K10" s="166">
        <v>2.88</v>
      </c>
      <c r="L10" s="169">
        <v>0.2016</v>
      </c>
      <c r="M10" s="97">
        <v>32</v>
      </c>
      <c r="N10" s="126">
        <v>6.4512</v>
      </c>
      <c r="O10" s="231">
        <v>70.963200000000001</v>
      </c>
      <c r="P10" s="266"/>
      <c r="Q10" s="88">
        <f t="shared" si="0"/>
        <v>747.33119999999997</v>
      </c>
      <c r="R10" s="224">
        <f t="shared" ref="R10:R18" si="2">R9</f>
        <v>3707</v>
      </c>
      <c r="S10" s="101">
        <f t="shared" si="1"/>
        <v>259.49</v>
      </c>
      <c r="U10" s="4"/>
      <c r="V10" s="82"/>
      <c r="W10" s="82"/>
      <c r="X10" s="4"/>
      <c r="Y10" s="2"/>
    </row>
    <row r="11" spans="1:25" ht="20.100000000000001" customHeight="1" thickBot="1" x14ac:dyDescent="0.3">
      <c r="A11" s="1246"/>
      <c r="B11" s="203">
        <v>1200</v>
      </c>
      <c r="C11" s="204">
        <v>600</v>
      </c>
      <c r="D11" s="209">
        <v>80</v>
      </c>
      <c r="E11" s="238" t="s">
        <v>339</v>
      </c>
      <c r="F11" s="263"/>
      <c r="G11" s="263">
        <v>0</v>
      </c>
      <c r="H11" s="264" t="s">
        <v>137</v>
      </c>
      <c r="I11" s="592">
        <f>IF(E11="C",ROUNDUP(5500/80/ФасадDDP!O11,0)*ФасадDDP!O11," ")</f>
        <v>69.11999999999999</v>
      </c>
      <c r="J11" s="97">
        <v>5</v>
      </c>
      <c r="K11" s="166">
        <v>3.6</v>
      </c>
      <c r="L11" s="169">
        <v>0.28799999999999998</v>
      </c>
      <c r="M11" s="97">
        <v>24</v>
      </c>
      <c r="N11" s="126">
        <v>6.911999999999999</v>
      </c>
      <c r="O11" s="231">
        <v>76.031999999999982</v>
      </c>
      <c r="P11" s="266"/>
      <c r="Q11" s="88">
        <f t="shared" si="0"/>
        <v>1067.616</v>
      </c>
      <c r="R11" s="224">
        <f t="shared" si="2"/>
        <v>3707</v>
      </c>
      <c r="S11" s="101">
        <f t="shared" si="1"/>
        <v>296.56</v>
      </c>
      <c r="U11" s="4"/>
      <c r="V11" s="82"/>
      <c r="W11" s="82"/>
      <c r="X11" s="4"/>
      <c r="Y11" s="2"/>
    </row>
    <row r="12" spans="1:25" ht="20.100000000000001" customHeight="1" thickBot="1" x14ac:dyDescent="0.3">
      <c r="A12" s="1246"/>
      <c r="B12" s="203">
        <v>1200</v>
      </c>
      <c r="C12" s="204">
        <v>600</v>
      </c>
      <c r="D12" s="209">
        <v>90</v>
      </c>
      <c r="E12" s="238" t="s">
        <v>339</v>
      </c>
      <c r="F12" s="263">
        <v>125</v>
      </c>
      <c r="G12" s="263">
        <v>20.093878600823047</v>
      </c>
      <c r="H12" s="264" t="s">
        <v>698</v>
      </c>
      <c r="I12" s="592">
        <f>IF(E12="C",ROUNDUP(5500/80/ФасадDDP!O12,0)*ФасадDDP!O12," ")</f>
        <v>71.28</v>
      </c>
      <c r="J12" s="97">
        <v>5</v>
      </c>
      <c r="K12" s="166">
        <v>3.6</v>
      </c>
      <c r="L12" s="169">
        <v>0.32400000000000001</v>
      </c>
      <c r="M12" s="97">
        <v>20</v>
      </c>
      <c r="N12" s="126">
        <v>6.48</v>
      </c>
      <c r="O12" s="231">
        <v>71.28</v>
      </c>
      <c r="P12" s="266"/>
      <c r="Q12" s="88">
        <f t="shared" si="0"/>
        <v>1201.068</v>
      </c>
      <c r="R12" s="224">
        <f t="shared" si="2"/>
        <v>3707</v>
      </c>
      <c r="S12" s="101">
        <f t="shared" si="1"/>
        <v>333.63</v>
      </c>
      <c r="U12" s="4"/>
      <c r="V12" s="82"/>
      <c r="W12" s="82"/>
      <c r="X12" s="4"/>
      <c r="Y12" s="2"/>
    </row>
    <row r="13" spans="1:25" ht="20.100000000000001" customHeight="1" thickBot="1" x14ac:dyDescent="0.3">
      <c r="A13" s="1246"/>
      <c r="B13" s="203">
        <v>1200</v>
      </c>
      <c r="C13" s="204">
        <v>600</v>
      </c>
      <c r="D13" s="209">
        <v>100</v>
      </c>
      <c r="E13" s="238" t="s">
        <v>239</v>
      </c>
      <c r="F13" s="263"/>
      <c r="G13" s="263">
        <v>0</v>
      </c>
      <c r="H13" s="264" t="s">
        <v>138</v>
      </c>
      <c r="I13" s="592" t="str">
        <f>IF(E13="C",ROUNDUP(5500/80/ФасадDDP!O13,0)*ФасадDDP!O13," ")</f>
        <v xml:space="preserve"> </v>
      </c>
      <c r="J13" s="97">
        <v>4</v>
      </c>
      <c r="K13" s="166">
        <v>2.16</v>
      </c>
      <c r="L13" s="169">
        <v>0.216</v>
      </c>
      <c r="M13" s="97">
        <v>24</v>
      </c>
      <c r="N13" s="126">
        <v>6.9119999999999999</v>
      </c>
      <c r="O13" s="231">
        <v>76.031999999999996</v>
      </c>
      <c r="P13" s="266"/>
      <c r="Q13" s="88">
        <f t="shared" si="0"/>
        <v>800.71199999999999</v>
      </c>
      <c r="R13" s="224">
        <f t="shared" si="2"/>
        <v>3707</v>
      </c>
      <c r="S13" s="101">
        <f t="shared" si="1"/>
        <v>370.7</v>
      </c>
      <c r="U13" s="4"/>
      <c r="V13" s="82"/>
      <c r="W13" s="82"/>
      <c r="X13" s="4"/>
      <c r="Y13" s="2"/>
    </row>
    <row r="14" spans="1:25" ht="20.100000000000001" customHeight="1" thickBot="1" x14ac:dyDescent="0.3">
      <c r="A14" s="1246"/>
      <c r="B14" s="203">
        <v>1200</v>
      </c>
      <c r="C14" s="204">
        <v>600</v>
      </c>
      <c r="D14" s="209">
        <v>110</v>
      </c>
      <c r="E14" s="238" t="s">
        <v>339</v>
      </c>
      <c r="F14" s="263">
        <v>125</v>
      </c>
      <c r="G14" s="263">
        <v>18.789081289081288</v>
      </c>
      <c r="H14" s="264" t="s">
        <v>139</v>
      </c>
      <c r="I14" s="592">
        <f>IF(E14="C",ROUNDUP(5500/80/ФасадDDP!O14,0)*ФасадDDP!O14," ")</f>
        <v>73.180800000000005</v>
      </c>
      <c r="J14" s="97">
        <v>3</v>
      </c>
      <c r="K14" s="166">
        <v>2.16</v>
      </c>
      <c r="L14" s="169">
        <v>0.23760000000000003</v>
      </c>
      <c r="M14" s="97">
        <v>28</v>
      </c>
      <c r="N14" s="126">
        <v>6.6528000000000009</v>
      </c>
      <c r="O14" s="231">
        <v>73.180800000000005</v>
      </c>
      <c r="P14" s="266"/>
      <c r="Q14" s="88">
        <f t="shared" si="0"/>
        <v>880.78320000000008</v>
      </c>
      <c r="R14" s="224">
        <f t="shared" si="2"/>
        <v>3707</v>
      </c>
      <c r="S14" s="101">
        <f t="shared" si="1"/>
        <v>407.77</v>
      </c>
      <c r="U14" s="4"/>
      <c r="V14" s="82"/>
      <c r="W14" s="82"/>
      <c r="X14" s="4"/>
      <c r="Y14" s="2"/>
    </row>
    <row r="15" spans="1:25" ht="20.100000000000001" customHeight="1" thickBot="1" x14ac:dyDescent="0.3">
      <c r="A15" s="1246"/>
      <c r="B15" s="203">
        <v>1200</v>
      </c>
      <c r="C15" s="204">
        <v>600</v>
      </c>
      <c r="D15" s="209">
        <v>120</v>
      </c>
      <c r="E15" s="238" t="s">
        <v>339</v>
      </c>
      <c r="F15" s="263">
        <v>125</v>
      </c>
      <c r="G15" s="263">
        <v>20.093878600823043</v>
      </c>
      <c r="H15" s="264" t="s">
        <v>699</v>
      </c>
      <c r="I15" s="592">
        <f>IF(E15="C",ROUNDUP(5500/80/ФасадDDP!O15,0)*ФасадDDP!O15," ")</f>
        <v>69.11999999999999</v>
      </c>
      <c r="J15" s="97">
        <v>2</v>
      </c>
      <c r="K15" s="166">
        <v>1.44</v>
      </c>
      <c r="L15" s="169">
        <v>0.17280000000000001</v>
      </c>
      <c r="M15" s="97">
        <v>40</v>
      </c>
      <c r="N15" s="126">
        <v>6.9119999999999999</v>
      </c>
      <c r="O15" s="231">
        <v>76.031999999999996</v>
      </c>
      <c r="P15" s="266"/>
      <c r="Q15" s="88">
        <f t="shared" si="0"/>
        <v>640.56960000000004</v>
      </c>
      <c r="R15" s="224">
        <f t="shared" si="2"/>
        <v>3707</v>
      </c>
      <c r="S15" s="101">
        <f t="shared" si="1"/>
        <v>444.84</v>
      </c>
      <c r="U15" s="4"/>
      <c r="V15" s="82"/>
      <c r="W15" s="82"/>
      <c r="X15" s="4"/>
      <c r="Y15" s="2"/>
    </row>
    <row r="16" spans="1:25" ht="20.100000000000001" customHeight="1" thickBot="1" x14ac:dyDescent="0.3">
      <c r="A16" s="1246"/>
      <c r="B16" s="203">
        <v>1200</v>
      </c>
      <c r="C16" s="204">
        <v>600</v>
      </c>
      <c r="D16" s="209">
        <v>130</v>
      </c>
      <c r="E16" s="238" t="s">
        <v>339</v>
      </c>
      <c r="F16" s="263">
        <v>125</v>
      </c>
      <c r="G16" s="263">
        <v>18.548195631528966</v>
      </c>
      <c r="H16" s="264" t="s">
        <v>140</v>
      </c>
      <c r="I16" s="592">
        <f>IF(E16="C",ROUNDUP(5500/80/ФасадDDP!O16,0)*ФасадDDP!O16," ")</f>
        <v>74.131199999999993</v>
      </c>
      <c r="J16" s="97">
        <v>2</v>
      </c>
      <c r="K16" s="166">
        <v>1.44</v>
      </c>
      <c r="L16" s="169">
        <v>0.18719999999999998</v>
      </c>
      <c r="M16" s="97">
        <v>36</v>
      </c>
      <c r="N16" s="126">
        <v>6.7391999999999994</v>
      </c>
      <c r="O16" s="231">
        <v>74.131199999999993</v>
      </c>
      <c r="P16" s="266"/>
      <c r="Q16" s="88">
        <f t="shared" si="0"/>
        <v>693.95039999999995</v>
      </c>
      <c r="R16" s="224">
        <f t="shared" si="2"/>
        <v>3707</v>
      </c>
      <c r="S16" s="101">
        <f t="shared" si="1"/>
        <v>481.91</v>
      </c>
      <c r="U16" s="4"/>
      <c r="V16" s="82"/>
      <c r="W16" s="82"/>
      <c r="X16" s="4"/>
      <c r="Y16" s="2"/>
    </row>
    <row r="17" spans="1:25" ht="20.100000000000001" customHeight="1" thickBot="1" x14ac:dyDescent="0.3">
      <c r="A17" s="1246"/>
      <c r="B17" s="203">
        <v>1200</v>
      </c>
      <c r="C17" s="204">
        <v>600</v>
      </c>
      <c r="D17" s="209">
        <v>140</v>
      </c>
      <c r="E17" s="238" t="s">
        <v>339</v>
      </c>
      <c r="F17" s="263">
        <v>125</v>
      </c>
      <c r="G17" s="263">
        <v>19.376240079365079</v>
      </c>
      <c r="H17" s="264" t="s">
        <v>141</v>
      </c>
      <c r="I17" s="592">
        <f>IF(E17="C",ROUNDUP(5500/80/ФасадDDP!O17,0)*ФасадDDP!O17," ")</f>
        <v>70.963200000000001</v>
      </c>
      <c r="J17" s="97">
        <v>2</v>
      </c>
      <c r="K17" s="166">
        <v>1.44</v>
      </c>
      <c r="L17" s="169">
        <v>0.2016</v>
      </c>
      <c r="M17" s="97">
        <v>32</v>
      </c>
      <c r="N17" s="126">
        <v>6.4512</v>
      </c>
      <c r="O17" s="231">
        <v>70.963200000000001</v>
      </c>
      <c r="P17" s="266"/>
      <c r="Q17" s="88">
        <f t="shared" si="0"/>
        <v>747.33119999999997</v>
      </c>
      <c r="R17" s="224">
        <f t="shared" si="2"/>
        <v>3707</v>
      </c>
      <c r="S17" s="101">
        <f t="shared" si="1"/>
        <v>518.98</v>
      </c>
      <c r="U17" s="4"/>
      <c r="V17" s="82"/>
      <c r="W17" s="82"/>
      <c r="X17" s="4"/>
      <c r="Y17" s="2"/>
    </row>
    <row r="18" spans="1:25" ht="20.100000000000001" customHeight="1" thickBot="1" x14ac:dyDescent="0.3">
      <c r="A18" s="1246"/>
      <c r="B18" s="203">
        <v>1200</v>
      </c>
      <c r="C18" s="204">
        <v>600</v>
      </c>
      <c r="D18" s="209">
        <v>150</v>
      </c>
      <c r="E18" s="238" t="s">
        <v>339</v>
      </c>
      <c r="F18" s="263">
        <v>125</v>
      </c>
      <c r="G18" s="263">
        <v>18.08449074074074</v>
      </c>
      <c r="H18" s="264" t="s">
        <v>142</v>
      </c>
      <c r="I18" s="592">
        <f>IF(E18="C",ROUNDUP(5500/80/ФасадDDP!O18,0)*ФасадDDP!O18," ")</f>
        <v>69.12</v>
      </c>
      <c r="J18" s="97">
        <v>2</v>
      </c>
      <c r="K18" s="166">
        <v>1.44</v>
      </c>
      <c r="L18" s="169">
        <v>0.216</v>
      </c>
      <c r="M18" s="97">
        <v>32</v>
      </c>
      <c r="N18" s="126">
        <v>6.9119999999999999</v>
      </c>
      <c r="O18" s="231">
        <v>76.031999999999996</v>
      </c>
      <c r="P18" s="266"/>
      <c r="Q18" s="88">
        <f t="shared" si="0"/>
        <v>800.71199999999999</v>
      </c>
      <c r="R18" s="224">
        <f t="shared" si="2"/>
        <v>3707</v>
      </c>
      <c r="S18" s="101">
        <f t="shared" si="1"/>
        <v>556.04999999999995</v>
      </c>
      <c r="U18" s="4"/>
      <c r="V18" s="82"/>
      <c r="W18" s="82"/>
      <c r="X18" s="4"/>
      <c r="Y18" s="2"/>
    </row>
    <row r="19" spans="1:25" ht="20.100000000000001" customHeight="1" thickBot="1" x14ac:dyDescent="0.3">
      <c r="A19" s="1246"/>
      <c r="B19" s="203">
        <v>1200</v>
      </c>
      <c r="C19" s="204">
        <v>600</v>
      </c>
      <c r="D19" s="209">
        <v>160</v>
      </c>
      <c r="E19" s="238" t="s">
        <v>339</v>
      </c>
      <c r="F19" s="263">
        <v>125</v>
      </c>
      <c r="G19" s="263">
        <v>19.376240079365083</v>
      </c>
      <c r="H19" s="264" t="s">
        <v>143</v>
      </c>
      <c r="I19" s="592">
        <f>IF(E19="C",ROUNDUP(5500/80/ФасадDDP!O19,0)*ФасадDDP!O19," ")</f>
        <v>70.963199999999986</v>
      </c>
      <c r="J19" s="97">
        <v>2</v>
      </c>
      <c r="K19" s="166">
        <v>1.44</v>
      </c>
      <c r="L19" s="169">
        <v>0.23039999999999997</v>
      </c>
      <c r="M19" s="97">
        <v>28</v>
      </c>
      <c r="N19" s="126">
        <v>6.4511999999999992</v>
      </c>
      <c r="O19" s="231">
        <v>70.963199999999986</v>
      </c>
      <c r="P19" s="266"/>
      <c r="Q19" s="88" t="e">
        <f t="shared" si="0"/>
        <v>#VALUE!</v>
      </c>
      <c r="R19" s="224" t="s">
        <v>417</v>
      </c>
      <c r="S19" s="101" t="e">
        <f t="shared" si="1"/>
        <v>#VALUE!</v>
      </c>
      <c r="U19" s="4"/>
      <c r="V19" s="82"/>
      <c r="W19" s="82"/>
      <c r="X19" s="4"/>
      <c r="Y19" s="2"/>
    </row>
    <row r="20" spans="1:25" ht="20.100000000000001" customHeight="1" thickBot="1" x14ac:dyDescent="0.3">
      <c r="A20" s="1246"/>
      <c r="B20" s="203">
        <v>1200</v>
      </c>
      <c r="C20" s="204">
        <v>600</v>
      </c>
      <c r="D20" s="209">
        <v>170</v>
      </c>
      <c r="E20" s="238" t="s">
        <v>339</v>
      </c>
      <c r="F20" s="263">
        <v>125</v>
      </c>
      <c r="G20" s="263">
        <v>18.236461251167132</v>
      </c>
      <c r="H20" s="264" t="s">
        <v>144</v>
      </c>
      <c r="I20" s="592">
        <f>IF(E20="C",ROUNDUP(5500/80/ФасадDDP!O20,0)*ФасадDDP!O20," ")</f>
        <v>75.398399999999995</v>
      </c>
      <c r="J20" s="97">
        <v>2</v>
      </c>
      <c r="K20" s="166">
        <v>1.44</v>
      </c>
      <c r="L20" s="169">
        <v>0.24479999999999999</v>
      </c>
      <c r="M20" s="97">
        <v>28</v>
      </c>
      <c r="N20" s="126">
        <v>6.8544</v>
      </c>
      <c r="O20" s="231">
        <v>75.398399999999995</v>
      </c>
      <c r="P20" s="266"/>
      <c r="Q20" s="88" t="e">
        <f t="shared" si="0"/>
        <v>#VALUE!</v>
      </c>
      <c r="R20" s="224" t="s">
        <v>417</v>
      </c>
      <c r="S20" s="101" t="e">
        <f t="shared" si="1"/>
        <v>#VALUE!</v>
      </c>
      <c r="U20" s="4"/>
      <c r="V20" s="82"/>
      <c r="W20" s="82"/>
      <c r="X20" s="4"/>
      <c r="Y20" s="2"/>
    </row>
    <row r="21" spans="1:25" ht="20.100000000000001" customHeight="1" thickBot="1" x14ac:dyDescent="0.3">
      <c r="A21" s="1246"/>
      <c r="B21" s="203">
        <v>1200</v>
      </c>
      <c r="C21" s="204">
        <v>600</v>
      </c>
      <c r="D21" s="209">
        <v>180</v>
      </c>
      <c r="E21" s="238" t="s">
        <v>339</v>
      </c>
      <c r="F21" s="263">
        <v>125</v>
      </c>
      <c r="G21" s="263">
        <v>20.093878600823047</v>
      </c>
      <c r="H21" s="264" t="s">
        <v>145</v>
      </c>
      <c r="I21" s="592">
        <f>IF(E21="C",ROUNDUP(5500/80/ФасадDDP!O21,0)*ФасадDDP!O21," ")</f>
        <v>74.649599999999992</v>
      </c>
      <c r="J21" s="97">
        <v>2</v>
      </c>
      <c r="K21" s="166">
        <v>1.44</v>
      </c>
      <c r="L21" s="169">
        <v>0.25919999999999999</v>
      </c>
      <c r="M21" s="97">
        <v>24</v>
      </c>
      <c r="N21" s="126">
        <v>6.2207999999999997</v>
      </c>
      <c r="O21" s="231">
        <v>68.428799999999995</v>
      </c>
      <c r="P21" s="266"/>
      <c r="Q21" s="88" t="e">
        <f t="shared" si="0"/>
        <v>#VALUE!</v>
      </c>
      <c r="R21" s="224" t="s">
        <v>417</v>
      </c>
      <c r="S21" s="101" t="e">
        <f t="shared" si="1"/>
        <v>#VALUE!</v>
      </c>
      <c r="U21" s="4"/>
      <c r="V21" s="82"/>
      <c r="W21" s="82"/>
      <c r="X21" s="4"/>
      <c r="Y21" s="2"/>
    </row>
    <row r="22" spans="1:25" ht="20.100000000000001" customHeight="1" thickBot="1" x14ac:dyDescent="0.3">
      <c r="A22" s="1246"/>
      <c r="B22" s="203">
        <v>1200</v>
      </c>
      <c r="C22" s="204">
        <v>600</v>
      </c>
      <c r="D22" s="209">
        <v>190</v>
      </c>
      <c r="E22" s="238" t="s">
        <v>339</v>
      </c>
      <c r="F22" s="263">
        <v>125</v>
      </c>
      <c r="G22" s="263">
        <v>19.036306042884995</v>
      </c>
      <c r="H22" s="264" t="s">
        <v>146</v>
      </c>
      <c r="I22" s="592">
        <f>IF(E22="C",ROUNDUP(5500/80/ФасадDDP!O22,0)*ФасадDDP!O22," ")</f>
        <v>72.230399999999989</v>
      </c>
      <c r="J22" s="97">
        <v>2</v>
      </c>
      <c r="K22" s="166">
        <v>1.44</v>
      </c>
      <c r="L22" s="169">
        <v>0.27359999999999995</v>
      </c>
      <c r="M22" s="97">
        <v>24</v>
      </c>
      <c r="N22" s="126">
        <v>6.5663999999999989</v>
      </c>
      <c r="O22" s="231">
        <v>72.230399999999989</v>
      </c>
      <c r="P22" s="266"/>
      <c r="Q22" s="88" t="e">
        <f t="shared" si="0"/>
        <v>#VALUE!</v>
      </c>
      <c r="R22" s="224" t="s">
        <v>417</v>
      </c>
      <c r="S22" s="101" t="e">
        <f t="shared" si="1"/>
        <v>#VALUE!</v>
      </c>
      <c r="U22" s="4"/>
      <c r="V22" s="82"/>
      <c r="W22" s="82"/>
      <c r="X22" s="4"/>
      <c r="Y22" s="2"/>
    </row>
    <row r="23" spans="1:25" ht="20.100000000000001" customHeight="1" thickBot="1" x14ac:dyDescent="0.3">
      <c r="A23" s="1247"/>
      <c r="B23" s="240">
        <v>1200</v>
      </c>
      <c r="C23" s="241">
        <v>600</v>
      </c>
      <c r="D23" s="242">
        <v>200</v>
      </c>
      <c r="E23" s="238" t="s">
        <v>339</v>
      </c>
      <c r="F23" s="263">
        <v>125</v>
      </c>
      <c r="G23" s="289">
        <v>18.084490740740744</v>
      </c>
      <c r="H23" s="317" t="s">
        <v>147</v>
      </c>
      <c r="I23" s="593">
        <f>IF(E23="C",ROUNDUP(5500/80/ФасадDDP!O23,0)*ФасадDDP!O23," ")</f>
        <v>69.11999999999999</v>
      </c>
      <c r="J23" s="306">
        <v>2</v>
      </c>
      <c r="K23" s="167">
        <v>1.44</v>
      </c>
      <c r="L23" s="307">
        <v>0.28799999999999998</v>
      </c>
      <c r="M23" s="306">
        <v>24</v>
      </c>
      <c r="N23" s="129">
        <v>6.911999999999999</v>
      </c>
      <c r="O23" s="260">
        <v>76.031999999999982</v>
      </c>
      <c r="P23" s="308"/>
      <c r="Q23" s="479" t="e">
        <f t="shared" si="0"/>
        <v>#VALUE!</v>
      </c>
      <c r="R23" s="224" t="s">
        <v>417</v>
      </c>
      <c r="S23" s="101" t="e">
        <f t="shared" si="1"/>
        <v>#VALUE!</v>
      </c>
      <c r="U23" s="4"/>
      <c r="V23" s="82"/>
      <c r="W23" s="82"/>
      <c r="X23" s="4"/>
      <c r="Y23" s="2"/>
    </row>
    <row r="24" spans="1:25" ht="20.100000000000001" customHeight="1" thickBot="1" x14ac:dyDescent="0.3">
      <c r="A24" s="35" t="s">
        <v>11</v>
      </c>
      <c r="B24" s="252">
        <v>1200</v>
      </c>
      <c r="C24" s="250">
        <v>600</v>
      </c>
      <c r="D24" s="251">
        <v>50</v>
      </c>
      <c r="E24" s="238" t="s">
        <v>339</v>
      </c>
      <c r="F24" s="278"/>
      <c r="G24" s="319">
        <v>0</v>
      </c>
      <c r="H24" s="310" t="s">
        <v>148</v>
      </c>
      <c r="I24" s="594">
        <f>IF(E24="C",ROUNDUP(5500/90/ФасадDDP!O24,0)*ФасадDDP!O24," ")</f>
        <v>62.207999999999998</v>
      </c>
      <c r="J24" s="311">
        <v>6</v>
      </c>
      <c r="K24" s="323">
        <v>4.32</v>
      </c>
      <c r="L24" s="228">
        <v>0.216</v>
      </c>
      <c r="M24" s="311">
        <v>32</v>
      </c>
      <c r="N24" s="228">
        <v>6.9119999999999999</v>
      </c>
      <c r="O24" s="226">
        <v>76.031999999999996</v>
      </c>
      <c r="P24" s="321"/>
      <c r="Q24" s="88">
        <f>L24*R24</f>
        <v>887.76</v>
      </c>
      <c r="R24" s="656">
        <v>4110</v>
      </c>
      <c r="S24" s="313">
        <v>185.66749999999993</v>
      </c>
      <c r="U24" s="4"/>
      <c r="V24" s="82"/>
      <c r="X24" s="4"/>
    </row>
    <row r="25" spans="1:25" ht="20.100000000000001" customHeight="1" thickBot="1" x14ac:dyDescent="0.3">
      <c r="A25" s="1246" t="s">
        <v>27</v>
      </c>
      <c r="B25" s="203">
        <v>1200</v>
      </c>
      <c r="C25" s="204">
        <v>600</v>
      </c>
      <c r="D25" s="209">
        <v>60</v>
      </c>
      <c r="E25" s="238" t="s">
        <v>339</v>
      </c>
      <c r="F25" s="263">
        <v>111.11111111111111</v>
      </c>
      <c r="G25" s="263">
        <v>16.075102880658438</v>
      </c>
      <c r="H25" s="264" t="s">
        <v>149</v>
      </c>
      <c r="I25" s="594">
        <f>IF(E25="C",ROUNDUP(5500/90/ФасадDDP!O25,0)*ФасадDDP!O25," ")</f>
        <v>62.207999999999998</v>
      </c>
      <c r="J25" s="97">
        <v>5</v>
      </c>
      <c r="K25" s="168">
        <v>3.6</v>
      </c>
      <c r="L25" s="324">
        <v>0.216</v>
      </c>
      <c r="M25" s="97">
        <v>32</v>
      </c>
      <c r="N25" s="126">
        <v>6.9119999999999999</v>
      </c>
      <c r="O25" s="227">
        <v>76.031999999999996</v>
      </c>
      <c r="P25" s="266"/>
      <c r="Q25" s="88">
        <f t="shared" si="0"/>
        <v>887.76</v>
      </c>
      <c r="R25" s="657">
        <f>R24</f>
        <v>4110</v>
      </c>
      <c r="S25" s="206">
        <v>222.80099999999993</v>
      </c>
      <c r="U25" s="4"/>
      <c r="V25" s="82"/>
      <c r="W25" s="82"/>
      <c r="X25" s="4"/>
    </row>
    <row r="26" spans="1:25" ht="20.100000000000001" customHeight="1" thickBot="1" x14ac:dyDescent="0.3">
      <c r="A26" s="1246"/>
      <c r="B26" s="203">
        <v>1200</v>
      </c>
      <c r="C26" s="204">
        <v>600</v>
      </c>
      <c r="D26" s="209">
        <v>70</v>
      </c>
      <c r="E26" s="238" t="s">
        <v>339</v>
      </c>
      <c r="F26" s="263">
        <v>111.11111111111111</v>
      </c>
      <c r="G26" s="263">
        <v>17.223324514991184</v>
      </c>
      <c r="H26" s="264" t="s">
        <v>150</v>
      </c>
      <c r="I26" s="594">
        <f>IF(E26="C",ROUNDUP(5500/90/ФасадDDP!O26,0)*ФасадDDP!O26," ")</f>
        <v>64.512</v>
      </c>
      <c r="J26" s="97">
        <v>4</v>
      </c>
      <c r="K26" s="168">
        <v>2.8800000000000003</v>
      </c>
      <c r="L26" s="126">
        <v>0.2016</v>
      </c>
      <c r="M26" s="97">
        <v>32</v>
      </c>
      <c r="N26" s="126">
        <v>6.4512</v>
      </c>
      <c r="O26" s="227">
        <v>70.963200000000001</v>
      </c>
      <c r="P26" s="266"/>
      <c r="Q26" s="88">
        <f t="shared" si="0"/>
        <v>828.57600000000002</v>
      </c>
      <c r="R26" s="657">
        <f t="shared" ref="R26:R34" si="3">R25</f>
        <v>4110</v>
      </c>
      <c r="S26" s="206">
        <v>259.93449999999996</v>
      </c>
      <c r="U26" s="4"/>
      <c r="V26" s="82"/>
      <c r="W26" s="82"/>
      <c r="X26" s="4"/>
    </row>
    <row r="27" spans="1:25" ht="20.100000000000001" customHeight="1" thickBot="1" x14ac:dyDescent="0.3">
      <c r="A27" s="1246"/>
      <c r="B27" s="203">
        <v>1200</v>
      </c>
      <c r="C27" s="204">
        <v>600</v>
      </c>
      <c r="D27" s="209">
        <v>80</v>
      </c>
      <c r="E27" s="238" t="s">
        <v>339</v>
      </c>
      <c r="F27" s="263">
        <v>111.11111111111111</v>
      </c>
      <c r="G27" s="263">
        <v>16.075102880658438</v>
      </c>
      <c r="H27" s="264" t="s">
        <v>151</v>
      </c>
      <c r="I27" s="594">
        <f>IF(E27="C",ROUNDUP(5500/90/ФасадDDP!O27,0)*ФасадDDP!O27," ")</f>
        <v>62.207999999999991</v>
      </c>
      <c r="J27" s="97">
        <v>5</v>
      </c>
      <c r="K27" s="168">
        <v>3.6</v>
      </c>
      <c r="L27" s="126">
        <v>0.28799999999999998</v>
      </c>
      <c r="M27" s="97">
        <v>24</v>
      </c>
      <c r="N27" s="126">
        <v>6.911999999999999</v>
      </c>
      <c r="O27" s="227">
        <v>76.031999999999982</v>
      </c>
      <c r="P27" s="266"/>
      <c r="Q27" s="88">
        <f t="shared" si="0"/>
        <v>1183.6799999999998</v>
      </c>
      <c r="R27" s="657">
        <f t="shared" si="3"/>
        <v>4110</v>
      </c>
      <c r="S27" s="206">
        <v>297.06799999999993</v>
      </c>
      <c r="U27" s="4"/>
      <c r="V27" s="82"/>
      <c r="W27" s="82"/>
      <c r="X27" s="4"/>
    </row>
    <row r="28" spans="1:25" ht="20.100000000000001" customHeight="1" thickBot="1" x14ac:dyDescent="0.3">
      <c r="A28" s="1246"/>
      <c r="B28" s="203">
        <v>1200</v>
      </c>
      <c r="C28" s="204">
        <v>600</v>
      </c>
      <c r="D28" s="209">
        <v>90</v>
      </c>
      <c r="E28" s="238" t="s">
        <v>339</v>
      </c>
      <c r="F28" s="263">
        <v>111.11111111111111</v>
      </c>
      <c r="G28" s="263">
        <v>17.861225422953819</v>
      </c>
      <c r="H28" s="264" t="s">
        <v>249</v>
      </c>
      <c r="I28" s="594">
        <f>IF(E28="C",ROUNDUP(5500/90/ФасадDDP!O28,0)*ФасадDDP!O28," ")</f>
        <v>62.207999999999998</v>
      </c>
      <c r="J28" s="97">
        <v>4</v>
      </c>
      <c r="K28" s="168">
        <v>2.88</v>
      </c>
      <c r="L28" s="126">
        <v>0.25919999999999999</v>
      </c>
      <c r="M28" s="97">
        <v>24</v>
      </c>
      <c r="N28" s="126">
        <v>6.2207999999999997</v>
      </c>
      <c r="O28" s="227">
        <v>68.428799999999995</v>
      </c>
      <c r="P28" s="266"/>
      <c r="Q28" s="88">
        <f t="shared" si="0"/>
        <v>1065.3119999999999</v>
      </c>
      <c r="R28" s="657">
        <f t="shared" si="3"/>
        <v>4110</v>
      </c>
      <c r="S28" s="267">
        <v>334.2014999999999</v>
      </c>
      <c r="U28" s="4"/>
      <c r="V28" s="82"/>
      <c r="W28" s="82"/>
      <c r="X28" s="4"/>
    </row>
    <row r="29" spans="1:25" ht="20.100000000000001" customHeight="1" thickBot="1" x14ac:dyDescent="0.3">
      <c r="A29" s="1246"/>
      <c r="B29" s="203">
        <v>1200</v>
      </c>
      <c r="C29" s="204">
        <v>600</v>
      </c>
      <c r="D29" s="209">
        <v>100</v>
      </c>
      <c r="E29" s="238" t="s">
        <v>339</v>
      </c>
      <c r="F29" s="263"/>
      <c r="G29" s="263">
        <v>0</v>
      </c>
      <c r="H29" s="264" t="s">
        <v>152</v>
      </c>
      <c r="I29" s="594">
        <f>IF(E29="C",ROUNDUP(5500/90/ФасадDDP!O29,0)*ФасадDDP!O29," ")</f>
        <v>62.207999999999991</v>
      </c>
      <c r="J29" s="97">
        <v>4</v>
      </c>
      <c r="K29" s="168">
        <v>2.88</v>
      </c>
      <c r="L29" s="126">
        <v>0.28799999999999998</v>
      </c>
      <c r="M29" s="97">
        <v>24</v>
      </c>
      <c r="N29" s="126">
        <v>6.911999999999999</v>
      </c>
      <c r="O29" s="227">
        <v>76.031999999999982</v>
      </c>
      <c r="P29" s="266"/>
      <c r="Q29" s="88">
        <f t="shared" si="0"/>
        <v>1183.6799999999998</v>
      </c>
      <c r="R29" s="657">
        <f t="shared" si="3"/>
        <v>4110</v>
      </c>
      <c r="S29" s="267">
        <v>371.33499999999987</v>
      </c>
      <c r="U29" s="4"/>
      <c r="V29" s="82"/>
      <c r="X29" s="4"/>
    </row>
    <row r="30" spans="1:25" ht="20.100000000000001" customHeight="1" thickBot="1" x14ac:dyDescent="0.3">
      <c r="A30" s="1246"/>
      <c r="B30" s="203">
        <v>1200</v>
      </c>
      <c r="C30" s="204">
        <v>600</v>
      </c>
      <c r="D30" s="209">
        <v>110</v>
      </c>
      <c r="E30" s="238" t="s">
        <v>339</v>
      </c>
      <c r="F30" s="263">
        <v>111.11111111111111</v>
      </c>
      <c r="G30" s="263">
        <v>16.701405590294481</v>
      </c>
      <c r="H30" s="264" t="s">
        <v>250</v>
      </c>
      <c r="I30" s="594">
        <f>IF(E30="C",ROUNDUP(5500/90/ФасадDDP!O30,0)*ФасадDDP!O30," ")</f>
        <v>66.528000000000006</v>
      </c>
      <c r="J30" s="97">
        <v>3</v>
      </c>
      <c r="K30" s="168">
        <v>2.16</v>
      </c>
      <c r="L30" s="126">
        <v>0.23760000000000001</v>
      </c>
      <c r="M30" s="97">
        <v>28</v>
      </c>
      <c r="N30" s="126">
        <v>6.6528</v>
      </c>
      <c r="O30" s="227">
        <v>73.180800000000005</v>
      </c>
      <c r="P30" s="266"/>
      <c r="Q30" s="88">
        <f t="shared" si="0"/>
        <v>976.53600000000006</v>
      </c>
      <c r="R30" s="657">
        <f t="shared" si="3"/>
        <v>4110</v>
      </c>
      <c r="S30" s="206">
        <v>408.46849999999989</v>
      </c>
      <c r="U30" s="4"/>
      <c r="V30" s="82"/>
      <c r="W30" s="82"/>
      <c r="X30" s="4"/>
    </row>
    <row r="31" spans="1:25" ht="20.100000000000001" customHeight="1" thickBot="1" x14ac:dyDescent="0.3">
      <c r="A31" s="1246"/>
      <c r="B31" s="203">
        <v>1200</v>
      </c>
      <c r="C31" s="204">
        <v>600</v>
      </c>
      <c r="D31" s="209">
        <v>120</v>
      </c>
      <c r="E31" s="238" t="s">
        <v>339</v>
      </c>
      <c r="F31" s="263">
        <v>111.11111111111111</v>
      </c>
      <c r="G31" s="263">
        <v>17.861225422953819</v>
      </c>
      <c r="H31" s="264" t="s">
        <v>153</v>
      </c>
      <c r="I31" s="594">
        <f>IF(E31="C",ROUNDUP(5500/90/ФасадDDP!O31,0)*ФасадDDP!O31," ")</f>
        <v>62.207999999999991</v>
      </c>
      <c r="J31" s="97">
        <v>3</v>
      </c>
      <c r="K31" s="168">
        <v>2.16</v>
      </c>
      <c r="L31" s="126">
        <v>0.25919999999999999</v>
      </c>
      <c r="M31" s="97">
        <v>24</v>
      </c>
      <c r="N31" s="126">
        <v>6.2207999999999997</v>
      </c>
      <c r="O31" s="227">
        <v>68.428799999999995</v>
      </c>
      <c r="P31" s="266"/>
      <c r="Q31" s="88">
        <f t="shared" si="0"/>
        <v>1065.3119999999999</v>
      </c>
      <c r="R31" s="657">
        <f t="shared" si="3"/>
        <v>4110</v>
      </c>
      <c r="S31" s="267">
        <v>445.60199999999986</v>
      </c>
      <c r="U31" s="4"/>
      <c r="V31" s="82"/>
      <c r="W31" s="82"/>
      <c r="X31" s="4"/>
    </row>
    <row r="32" spans="1:25" ht="20.100000000000001" customHeight="1" thickBot="1" x14ac:dyDescent="0.3">
      <c r="A32" s="1246"/>
      <c r="B32" s="203">
        <v>1200</v>
      </c>
      <c r="C32" s="204">
        <v>600</v>
      </c>
      <c r="D32" s="209">
        <v>130</v>
      </c>
      <c r="E32" s="238" t="s">
        <v>339</v>
      </c>
      <c r="F32" s="263">
        <v>111.11111111111111</v>
      </c>
      <c r="G32" s="263">
        <v>16.487285005803525</v>
      </c>
      <c r="H32" s="264" t="s">
        <v>251</v>
      </c>
      <c r="I32" s="594">
        <f>IF(E32="C",ROUNDUP(5500/90/ФасадDDP!O32,0)*ФасадDDP!O32," ")</f>
        <v>67.391999999999996</v>
      </c>
      <c r="J32" s="97">
        <v>2</v>
      </c>
      <c r="K32" s="168">
        <v>1.4400000000000002</v>
      </c>
      <c r="L32" s="255">
        <v>0.18720000000000001</v>
      </c>
      <c r="M32" s="127">
        <v>36</v>
      </c>
      <c r="N32" s="126">
        <v>6.7392000000000003</v>
      </c>
      <c r="O32" s="227">
        <v>74.131200000000007</v>
      </c>
      <c r="P32" s="266"/>
      <c r="Q32" s="88">
        <f t="shared" si="0"/>
        <v>769.39200000000005</v>
      </c>
      <c r="R32" s="657">
        <f t="shared" si="3"/>
        <v>4110</v>
      </c>
      <c r="S32" s="206">
        <v>482.73549999999989</v>
      </c>
      <c r="U32" s="4"/>
      <c r="V32" s="82"/>
      <c r="W32" s="82"/>
      <c r="X32" s="4"/>
    </row>
    <row r="33" spans="1:24" ht="20.100000000000001" customHeight="1" thickBot="1" x14ac:dyDescent="0.3">
      <c r="A33" s="1246"/>
      <c r="B33" s="203">
        <v>1200</v>
      </c>
      <c r="C33" s="204">
        <v>600</v>
      </c>
      <c r="D33" s="209">
        <v>140</v>
      </c>
      <c r="E33" s="238" t="s">
        <v>339</v>
      </c>
      <c r="F33" s="263">
        <v>111.11111111111111</v>
      </c>
      <c r="G33" s="263">
        <v>17.223324514991184</v>
      </c>
      <c r="H33" s="264" t="s">
        <v>252</v>
      </c>
      <c r="I33" s="594">
        <f>IF(E33="C",ROUNDUP(5500/90/ФасадDDP!O33,0)*ФасадDDP!O33," ")</f>
        <v>64.512</v>
      </c>
      <c r="J33" s="97">
        <v>2</v>
      </c>
      <c r="K33" s="265">
        <v>1.4400000000000002</v>
      </c>
      <c r="L33" s="126">
        <v>0.2016</v>
      </c>
      <c r="M33" s="127">
        <v>32</v>
      </c>
      <c r="N33" s="126">
        <v>6.4512</v>
      </c>
      <c r="O33" s="227">
        <v>70.963200000000001</v>
      </c>
      <c r="P33" s="266"/>
      <c r="Q33" s="88">
        <f t="shared" si="0"/>
        <v>828.57600000000002</v>
      </c>
      <c r="R33" s="657">
        <f t="shared" si="3"/>
        <v>4110</v>
      </c>
      <c r="S33" s="267">
        <v>519.86899999999991</v>
      </c>
      <c r="U33" s="4"/>
      <c r="V33" s="82"/>
      <c r="W33" s="82"/>
      <c r="X33" s="4"/>
    </row>
    <row r="34" spans="1:24" ht="20.100000000000001" customHeight="1" thickBot="1" x14ac:dyDescent="0.3">
      <c r="A34" s="1246"/>
      <c r="B34" s="203">
        <v>1200</v>
      </c>
      <c r="C34" s="204">
        <v>600</v>
      </c>
      <c r="D34" s="209">
        <v>150</v>
      </c>
      <c r="E34" s="238" t="s">
        <v>339</v>
      </c>
      <c r="F34" s="263">
        <v>111.11111111111111</v>
      </c>
      <c r="G34" s="263">
        <v>16.075102880658438</v>
      </c>
      <c r="H34" s="264" t="s">
        <v>253</v>
      </c>
      <c r="I34" s="594">
        <f>IF(E34="C",ROUNDUP(5500/90/ФасадDDP!O34,0)*ФасадDDP!O34," ")</f>
        <v>62.207999999999998</v>
      </c>
      <c r="J34" s="97">
        <v>2</v>
      </c>
      <c r="K34" s="265">
        <v>1.4400000000000002</v>
      </c>
      <c r="L34" s="126">
        <v>0.216</v>
      </c>
      <c r="M34" s="127">
        <v>32</v>
      </c>
      <c r="N34" s="126">
        <v>6.9119999999999999</v>
      </c>
      <c r="O34" s="227">
        <v>76.031999999999996</v>
      </c>
      <c r="P34" s="266"/>
      <c r="Q34" s="88">
        <f t="shared" si="0"/>
        <v>887.76</v>
      </c>
      <c r="R34" s="657">
        <f t="shared" si="3"/>
        <v>4110</v>
      </c>
      <c r="S34" s="267">
        <v>557.00249999999983</v>
      </c>
      <c r="U34" s="4"/>
      <c r="V34" s="82"/>
      <c r="W34" s="82"/>
      <c r="X34" s="4"/>
    </row>
    <row r="35" spans="1:24" ht="20.100000000000001" customHeight="1" thickBot="1" x14ac:dyDescent="0.3">
      <c r="A35" s="1246"/>
      <c r="B35" s="203">
        <v>1200</v>
      </c>
      <c r="C35" s="204">
        <v>600</v>
      </c>
      <c r="D35" s="209">
        <v>160</v>
      </c>
      <c r="E35" s="238" t="s">
        <v>339</v>
      </c>
      <c r="F35" s="263">
        <v>111.11111111111111</v>
      </c>
      <c r="G35" s="263">
        <v>17.223324514991184</v>
      </c>
      <c r="H35" s="264" t="s">
        <v>254</v>
      </c>
      <c r="I35" s="594">
        <f>IF(E35="C",ROUNDUP(5500/90/ФасадDDP!O35,0)*ФасадDDP!O35," ")</f>
        <v>64.511999999999986</v>
      </c>
      <c r="J35" s="97">
        <v>2</v>
      </c>
      <c r="K35" s="265">
        <v>1.44</v>
      </c>
      <c r="L35" s="126">
        <v>0.23039999999999999</v>
      </c>
      <c r="M35" s="127">
        <v>28</v>
      </c>
      <c r="N35" s="126">
        <v>6.4512</v>
      </c>
      <c r="O35" s="227">
        <v>70.963200000000001</v>
      </c>
      <c r="P35" s="266"/>
      <c r="Q35" s="88" t="e">
        <f t="shared" si="0"/>
        <v>#VALUE!</v>
      </c>
      <c r="R35" s="657" t="s">
        <v>417</v>
      </c>
      <c r="S35" s="267">
        <v>594.13599999999985</v>
      </c>
      <c r="U35" s="4"/>
      <c r="V35" s="82"/>
      <c r="W35" s="82"/>
      <c r="X35" s="4"/>
    </row>
    <row r="36" spans="1:24" ht="20.100000000000001" customHeight="1" thickBot="1" x14ac:dyDescent="0.3">
      <c r="A36" s="1246"/>
      <c r="B36" s="203">
        <v>1200</v>
      </c>
      <c r="C36" s="204">
        <v>600</v>
      </c>
      <c r="D36" s="209">
        <v>170</v>
      </c>
      <c r="E36" s="238" t="s">
        <v>339</v>
      </c>
      <c r="F36" s="263">
        <v>111.11111111111111</v>
      </c>
      <c r="G36" s="263">
        <v>16.210187778815229</v>
      </c>
      <c r="H36" s="264" t="s">
        <v>255</v>
      </c>
      <c r="I36" s="594">
        <f>IF(E36="C",ROUNDUP(5500/90/ФасадDDP!O36,0)*ФасадDDP!O36," ")</f>
        <v>61.689599999999999</v>
      </c>
      <c r="J36" s="97">
        <v>2</v>
      </c>
      <c r="K36" s="265">
        <v>1.44</v>
      </c>
      <c r="L36" s="126">
        <v>0.24479999999999999</v>
      </c>
      <c r="M36" s="127">
        <v>28</v>
      </c>
      <c r="N36" s="126">
        <v>6.8544</v>
      </c>
      <c r="O36" s="227">
        <v>75.398399999999995</v>
      </c>
      <c r="P36" s="266"/>
      <c r="Q36" s="88" t="e">
        <f t="shared" si="0"/>
        <v>#VALUE!</v>
      </c>
      <c r="R36" s="657" t="s">
        <v>417</v>
      </c>
      <c r="S36" s="315">
        <v>631.26949999999988</v>
      </c>
      <c r="U36" s="4"/>
      <c r="V36" s="82"/>
      <c r="W36" s="82"/>
      <c r="X36" s="4"/>
    </row>
    <row r="37" spans="1:24" ht="20.100000000000001" customHeight="1" thickBot="1" x14ac:dyDescent="0.3">
      <c r="A37" s="1246"/>
      <c r="B37" s="203">
        <v>1200</v>
      </c>
      <c r="C37" s="204">
        <v>600</v>
      </c>
      <c r="D37" s="209">
        <v>180</v>
      </c>
      <c r="E37" s="238" t="s">
        <v>339</v>
      </c>
      <c r="F37" s="263">
        <v>111.11111111111111</v>
      </c>
      <c r="G37" s="263">
        <v>17.861225422953819</v>
      </c>
      <c r="H37" s="264" t="s">
        <v>256</v>
      </c>
      <c r="I37" s="594">
        <f>IF(E37="C",ROUNDUP(5500/90/ФасадDDP!O37,0)*ФасадDDP!O37," ")</f>
        <v>62.207999999999998</v>
      </c>
      <c r="J37" s="97">
        <v>2</v>
      </c>
      <c r="K37" s="265">
        <v>1.44</v>
      </c>
      <c r="L37" s="126">
        <v>0.25919999999999999</v>
      </c>
      <c r="M37" s="127">
        <v>24</v>
      </c>
      <c r="N37" s="126">
        <v>6.2207999999999997</v>
      </c>
      <c r="O37" s="227">
        <v>68.428799999999995</v>
      </c>
      <c r="P37" s="266"/>
      <c r="Q37" s="88" t="e">
        <f t="shared" si="0"/>
        <v>#VALUE!</v>
      </c>
      <c r="R37" s="657" t="s">
        <v>417</v>
      </c>
      <c r="S37" s="267">
        <v>668.40299999999979</v>
      </c>
      <c r="U37" s="4"/>
      <c r="V37" s="82"/>
      <c r="W37" s="82"/>
      <c r="X37" s="4"/>
    </row>
    <row r="38" spans="1:24" ht="20.100000000000001" customHeight="1" thickBot="1" x14ac:dyDescent="0.3">
      <c r="A38" s="1246"/>
      <c r="B38" s="203">
        <v>1200</v>
      </c>
      <c r="C38" s="204">
        <v>600</v>
      </c>
      <c r="D38" s="209">
        <v>190</v>
      </c>
      <c r="E38" s="238" t="s">
        <v>339</v>
      </c>
      <c r="F38" s="263">
        <v>111.11111111111111</v>
      </c>
      <c r="G38" s="263">
        <v>16.921160927008881</v>
      </c>
      <c r="H38" s="264" t="s">
        <v>257</v>
      </c>
      <c r="I38" s="594">
        <f>IF(E38="C",ROUNDUP(5500/90/ФасадDDP!O38,0)*ФасадDDP!O38," ")</f>
        <v>65.663999999999987</v>
      </c>
      <c r="J38" s="97">
        <v>2</v>
      </c>
      <c r="K38" s="265">
        <v>1.4400000000000002</v>
      </c>
      <c r="L38" s="126">
        <v>0.27360000000000001</v>
      </c>
      <c r="M38" s="127">
        <v>24</v>
      </c>
      <c r="N38" s="126">
        <v>6.5663999999999998</v>
      </c>
      <c r="O38" s="227">
        <v>72.230400000000003</v>
      </c>
      <c r="P38" s="266"/>
      <c r="Q38" s="88" t="e">
        <f t="shared" si="0"/>
        <v>#VALUE!</v>
      </c>
      <c r="R38" s="657" t="s">
        <v>417</v>
      </c>
      <c r="S38" s="315">
        <v>705.53649999999982</v>
      </c>
      <c r="U38" s="4"/>
      <c r="V38" s="82"/>
      <c r="W38" s="82"/>
      <c r="X38" s="4"/>
    </row>
    <row r="39" spans="1:24" ht="20.100000000000001" customHeight="1" thickBot="1" x14ac:dyDescent="0.3">
      <c r="A39" s="1247"/>
      <c r="B39" s="240">
        <v>1200</v>
      </c>
      <c r="C39" s="241">
        <v>600</v>
      </c>
      <c r="D39" s="242">
        <v>200</v>
      </c>
      <c r="E39" s="238" t="s">
        <v>339</v>
      </c>
      <c r="F39" s="289">
        <v>111.11111111111111</v>
      </c>
      <c r="G39" s="289">
        <v>16.075102880658438</v>
      </c>
      <c r="H39" s="317" t="s">
        <v>258</v>
      </c>
      <c r="I39" s="593">
        <f>IF(E39="C",ROUNDUP(5500/90/ФасадDDP!O39,0)*ФасадDDP!O39," ")</f>
        <v>62.207999999999991</v>
      </c>
      <c r="J39" s="306">
        <v>2</v>
      </c>
      <c r="K39" s="307">
        <v>1.44</v>
      </c>
      <c r="L39" s="129">
        <v>0.28799999999999998</v>
      </c>
      <c r="M39" s="130">
        <v>24</v>
      </c>
      <c r="N39" s="129">
        <v>6.911999999999999</v>
      </c>
      <c r="O39" s="260">
        <v>76.031999999999982</v>
      </c>
      <c r="P39" s="308"/>
      <c r="Q39" s="479" t="e">
        <f t="shared" si="0"/>
        <v>#VALUE!</v>
      </c>
      <c r="R39" s="657" t="s">
        <v>417</v>
      </c>
      <c r="S39" s="318">
        <v>742.66999999999973</v>
      </c>
      <c r="U39" s="4"/>
      <c r="V39" s="82"/>
      <c r="W39" s="82"/>
      <c r="X39" s="4"/>
    </row>
    <row r="40" spans="1:24" ht="20.100000000000001" customHeight="1" thickBot="1" x14ac:dyDescent="0.3">
      <c r="A40" s="35" t="s">
        <v>12</v>
      </c>
      <c r="B40" s="252">
        <v>1200</v>
      </c>
      <c r="C40" s="250">
        <v>600</v>
      </c>
      <c r="D40" s="251">
        <v>50</v>
      </c>
      <c r="E40" s="238" t="s">
        <v>339</v>
      </c>
      <c r="F40" s="319"/>
      <c r="G40" s="319">
        <v>0</v>
      </c>
      <c r="H40" s="310" t="s">
        <v>164</v>
      </c>
      <c r="I40" s="594">
        <f>IF(E40="C",ROUNDUP(5500/100/ФасадDDP!O40,0)*ФасадDDP!O40," ")</f>
        <v>55.295999999999999</v>
      </c>
      <c r="J40" s="311">
        <v>6</v>
      </c>
      <c r="K40" s="265">
        <v>4.32</v>
      </c>
      <c r="L40" s="132">
        <v>0.216</v>
      </c>
      <c r="M40" s="133">
        <v>32</v>
      </c>
      <c r="N40" s="228">
        <v>6.9119999999999999</v>
      </c>
      <c r="O40" s="226">
        <v>76.031999999999996</v>
      </c>
      <c r="P40" s="321"/>
      <c r="Q40" s="88">
        <f>L40*R40</f>
        <v>1001.592</v>
      </c>
      <c r="R40" s="656">
        <v>4637</v>
      </c>
      <c r="S40" s="286">
        <v>203.60749999999996</v>
      </c>
      <c r="U40" s="4"/>
      <c r="V40" s="82"/>
      <c r="X40" s="4"/>
    </row>
    <row r="41" spans="1:24" ht="20.100000000000001" customHeight="1" thickBot="1" x14ac:dyDescent="0.3">
      <c r="A41" s="1246" t="s">
        <v>27</v>
      </c>
      <c r="B41" s="203">
        <v>1200</v>
      </c>
      <c r="C41" s="204">
        <v>600</v>
      </c>
      <c r="D41" s="209">
        <v>60</v>
      </c>
      <c r="E41" s="238" t="s">
        <v>339</v>
      </c>
      <c r="F41" s="263">
        <v>100</v>
      </c>
      <c r="G41" s="263">
        <v>14.467592592592593</v>
      </c>
      <c r="H41" s="264" t="s">
        <v>165</v>
      </c>
      <c r="I41" s="594">
        <f>IF(E41="C",ROUNDUP(5500/100/ФасадDDP!O41,0)*ФасадDDP!O41," ")</f>
        <v>55.295999999999999</v>
      </c>
      <c r="J41" s="97">
        <v>5</v>
      </c>
      <c r="K41" s="265">
        <v>3.6</v>
      </c>
      <c r="L41" s="126">
        <v>0.216</v>
      </c>
      <c r="M41" s="97">
        <v>32</v>
      </c>
      <c r="N41" s="166">
        <v>6.9119999999999999</v>
      </c>
      <c r="O41" s="227">
        <v>76.031999999999996</v>
      </c>
      <c r="P41" s="266"/>
      <c r="Q41" s="88" t="e">
        <f t="shared" si="0"/>
        <v>#VALUE!</v>
      </c>
      <c r="R41" s="657" t="s">
        <v>417</v>
      </c>
      <c r="S41" s="276">
        <v>244.32899999999998</v>
      </c>
      <c r="U41" s="4"/>
      <c r="V41" s="82"/>
      <c r="W41" s="82"/>
      <c r="X41" s="4"/>
    </row>
    <row r="42" spans="1:24" ht="20.100000000000001" customHeight="1" thickBot="1" x14ac:dyDescent="0.3">
      <c r="A42" s="1246"/>
      <c r="B42" s="203">
        <v>1200</v>
      </c>
      <c r="C42" s="204">
        <v>600</v>
      </c>
      <c r="D42" s="209">
        <v>70</v>
      </c>
      <c r="E42" s="238" t="s">
        <v>339</v>
      </c>
      <c r="F42" s="263">
        <v>100</v>
      </c>
      <c r="G42" s="263">
        <v>15.500992063492063</v>
      </c>
      <c r="H42" s="264" t="s">
        <v>166</v>
      </c>
      <c r="I42" s="594">
        <f>IF(E42="C",ROUNDUP(5500/100/ФасадDDP!O42,0)*ФасадDDP!O42," ")</f>
        <v>58.0608</v>
      </c>
      <c r="J42" s="97">
        <v>4</v>
      </c>
      <c r="K42" s="265">
        <v>2.8800000000000003</v>
      </c>
      <c r="L42" s="126">
        <v>0.2016</v>
      </c>
      <c r="M42" s="97">
        <v>32</v>
      </c>
      <c r="N42" s="325">
        <v>6.4512</v>
      </c>
      <c r="O42" s="227">
        <v>70.963200000000001</v>
      </c>
      <c r="P42" s="266"/>
      <c r="Q42" s="88" t="e">
        <f t="shared" si="0"/>
        <v>#VALUE!</v>
      </c>
      <c r="R42" s="657" t="s">
        <v>417</v>
      </c>
      <c r="S42" s="267">
        <v>285.0505</v>
      </c>
      <c r="U42" s="4"/>
      <c r="V42" s="82"/>
      <c r="W42" s="82"/>
      <c r="X42" s="4"/>
    </row>
    <row r="43" spans="1:24" ht="19.5" customHeight="1" thickBot="1" x14ac:dyDescent="0.3">
      <c r="A43" s="1246"/>
      <c r="B43" s="12">
        <v>1200</v>
      </c>
      <c r="C43" s="13">
        <v>600</v>
      </c>
      <c r="D43" s="14">
        <v>80</v>
      </c>
      <c r="E43" s="238" t="s">
        <v>339</v>
      </c>
      <c r="F43" s="107">
        <v>100</v>
      </c>
      <c r="G43" s="116">
        <v>14.467592592592592</v>
      </c>
      <c r="H43" s="219" t="s">
        <v>167</v>
      </c>
      <c r="I43" s="594">
        <f>IF(E43="C",ROUNDUP(5500/100/ФасадDDP!O43,0)*ФасадDDP!O43," ")</f>
        <v>55.296000000000006</v>
      </c>
      <c r="J43" s="47">
        <v>3</v>
      </c>
      <c r="K43" s="188">
        <v>2.16</v>
      </c>
      <c r="L43" s="182">
        <v>0.17280000000000001</v>
      </c>
      <c r="M43" s="95">
        <v>40</v>
      </c>
      <c r="N43" s="182">
        <v>6.9120000000000008</v>
      </c>
      <c r="O43" s="192">
        <v>76.032000000000011</v>
      </c>
      <c r="P43" s="48"/>
      <c r="Q43" s="88">
        <f t="shared" si="0"/>
        <v>801.27359999999999</v>
      </c>
      <c r="R43" s="657">
        <v>4637</v>
      </c>
      <c r="S43" s="38">
        <v>325.77199999999999</v>
      </c>
      <c r="U43" s="4"/>
      <c r="V43" s="82"/>
      <c r="W43" s="82"/>
      <c r="X43" s="4"/>
    </row>
    <row r="44" spans="1:24" ht="20.100000000000001" customHeight="1" thickBot="1" x14ac:dyDescent="0.3">
      <c r="A44" s="1246"/>
      <c r="B44" s="12">
        <v>1200</v>
      </c>
      <c r="C44" s="13">
        <v>600</v>
      </c>
      <c r="D44" s="14">
        <v>90</v>
      </c>
      <c r="E44" s="238" t="s">
        <v>339</v>
      </c>
      <c r="F44" s="107">
        <v>100</v>
      </c>
      <c r="G44" s="116">
        <v>14.288980338363055</v>
      </c>
      <c r="H44" s="219" t="s">
        <v>168</v>
      </c>
      <c r="I44" s="594">
        <f>IF(E44="C",ROUNDUP(5500/100/ФасадDDP!O44,0)*ФасадDDP!O44," ")</f>
        <v>55.987200000000001</v>
      </c>
      <c r="J44" s="47">
        <v>3</v>
      </c>
      <c r="K44" s="188">
        <v>2.16</v>
      </c>
      <c r="L44" s="182">
        <v>0.19439999999999999</v>
      </c>
      <c r="M44" s="95">
        <v>36</v>
      </c>
      <c r="N44" s="182">
        <v>6.9983999999999993</v>
      </c>
      <c r="O44" s="192">
        <v>76.982399999999998</v>
      </c>
      <c r="P44" s="48"/>
      <c r="Q44" s="88" t="e">
        <f t="shared" si="0"/>
        <v>#VALUE!</v>
      </c>
      <c r="R44" s="657" t="s">
        <v>417</v>
      </c>
      <c r="S44" s="104">
        <v>366.49349999999993</v>
      </c>
      <c r="U44" s="4"/>
      <c r="V44" s="82"/>
      <c r="W44" s="82"/>
      <c r="X44" s="4"/>
    </row>
    <row r="45" spans="1:24" ht="20.100000000000001" customHeight="1" thickBot="1" x14ac:dyDescent="0.3">
      <c r="A45" s="1246"/>
      <c r="B45" s="203">
        <v>1200</v>
      </c>
      <c r="C45" s="204">
        <v>600</v>
      </c>
      <c r="D45" s="209">
        <v>100</v>
      </c>
      <c r="E45" s="238" t="s">
        <v>339</v>
      </c>
      <c r="F45" s="263"/>
      <c r="G45" s="263">
        <v>0</v>
      </c>
      <c r="H45" s="264" t="s">
        <v>169</v>
      </c>
      <c r="I45" s="594">
        <f>IF(E45="C",ROUNDUP(5500/100/ФасадDDP!O45,0)*ФасадDDP!O45," ")</f>
        <v>55.295999999999999</v>
      </c>
      <c r="J45" s="97">
        <v>3</v>
      </c>
      <c r="K45" s="265">
        <v>2.16</v>
      </c>
      <c r="L45" s="126">
        <v>0.216</v>
      </c>
      <c r="M45" s="127">
        <v>32</v>
      </c>
      <c r="N45" s="126">
        <v>6.9119999999999999</v>
      </c>
      <c r="O45" s="227">
        <v>76.031999999999996</v>
      </c>
      <c r="P45" s="266"/>
      <c r="Q45" s="88" t="e">
        <f t="shared" si="0"/>
        <v>#VALUE!</v>
      </c>
      <c r="R45" s="657" t="s">
        <v>417</v>
      </c>
      <c r="S45" s="267">
        <v>407.21499999999992</v>
      </c>
      <c r="U45" s="4"/>
      <c r="V45" s="82"/>
      <c r="X45" s="4"/>
    </row>
    <row r="46" spans="1:24" ht="20.100000000000001" customHeight="1" thickBot="1" x14ac:dyDescent="0.3">
      <c r="A46" s="1246"/>
      <c r="B46" s="12">
        <v>1200</v>
      </c>
      <c r="C46" s="13">
        <v>600</v>
      </c>
      <c r="D46" s="14">
        <v>110</v>
      </c>
      <c r="E46" s="238" t="s">
        <v>339</v>
      </c>
      <c r="F46" s="107">
        <v>100</v>
      </c>
      <c r="G46" s="116">
        <v>15.782828282828282</v>
      </c>
      <c r="H46" s="219" t="s">
        <v>170</v>
      </c>
      <c r="I46" s="594">
        <f>IF(E46="C",ROUNDUP(5500/100/ФасадDDP!O46,0)*ФасадDDP!O46," ")</f>
        <v>59.875200000000007</v>
      </c>
      <c r="J46" s="47">
        <v>2</v>
      </c>
      <c r="K46" s="188">
        <v>1.4400000000000002</v>
      </c>
      <c r="L46" s="182">
        <v>0.15840000000000001</v>
      </c>
      <c r="M46" s="95">
        <v>40</v>
      </c>
      <c r="N46" s="182">
        <v>6.3360000000000003</v>
      </c>
      <c r="O46" s="192">
        <v>69.695999999999998</v>
      </c>
      <c r="P46" s="48"/>
      <c r="Q46" s="88" t="e">
        <f t="shared" si="0"/>
        <v>#VALUE!</v>
      </c>
      <c r="R46" s="657" t="s">
        <v>417</v>
      </c>
      <c r="S46" s="104">
        <v>447.93649999999997</v>
      </c>
      <c r="U46" s="4"/>
      <c r="V46" s="82"/>
      <c r="W46" s="82"/>
      <c r="X46" s="4"/>
    </row>
    <row r="47" spans="1:24" ht="20.100000000000001" customHeight="1" thickBot="1" x14ac:dyDescent="0.3">
      <c r="A47" s="1246"/>
      <c r="B47" s="12">
        <v>1200</v>
      </c>
      <c r="C47" s="13">
        <v>600</v>
      </c>
      <c r="D47" s="14">
        <v>120</v>
      </c>
      <c r="E47" s="238" t="s">
        <v>339</v>
      </c>
      <c r="F47" s="107">
        <v>100</v>
      </c>
      <c r="G47" s="116">
        <v>14.467592592592592</v>
      </c>
      <c r="H47" s="219" t="s">
        <v>247</v>
      </c>
      <c r="I47" s="594">
        <f>IF(E47="C",ROUNDUP(5500/100/ФасадDDP!O47,0)*ФасадDDP!O47," ")</f>
        <v>55.295999999999992</v>
      </c>
      <c r="J47" s="47">
        <v>2</v>
      </c>
      <c r="K47" s="188">
        <v>1.4400000000000002</v>
      </c>
      <c r="L47" s="182">
        <v>0.17280000000000001</v>
      </c>
      <c r="M47" s="95">
        <v>40</v>
      </c>
      <c r="N47" s="182">
        <v>6.9120000000000008</v>
      </c>
      <c r="O47" s="192">
        <v>76.032000000000011</v>
      </c>
      <c r="P47" s="48"/>
      <c r="Q47" s="88" t="e">
        <f t="shared" si="0"/>
        <v>#VALUE!</v>
      </c>
      <c r="R47" s="657" t="s">
        <v>417</v>
      </c>
      <c r="S47" s="105">
        <v>488.65799999999996</v>
      </c>
      <c r="U47" s="4"/>
      <c r="V47" s="82"/>
      <c r="W47" s="82"/>
      <c r="X47" s="4"/>
    </row>
    <row r="48" spans="1:24" ht="20.100000000000001" customHeight="1" thickBot="1" x14ac:dyDescent="0.3">
      <c r="A48" s="1246"/>
      <c r="B48" s="12">
        <v>1200</v>
      </c>
      <c r="C48" s="13">
        <v>600</v>
      </c>
      <c r="D48" s="14">
        <v>130</v>
      </c>
      <c r="E48" s="238" t="s">
        <v>339</v>
      </c>
      <c r="F48" s="107">
        <v>100</v>
      </c>
      <c r="G48" s="116">
        <v>14.83855650522317</v>
      </c>
      <c r="H48" s="219" t="s">
        <v>171</v>
      </c>
      <c r="I48" s="594">
        <f>IF(E48="C",ROUNDUP(5500/100/ФасадDDP!O48,0)*ФасадDDP!O48," ")</f>
        <v>60.652799999999992</v>
      </c>
      <c r="J48" s="47">
        <v>2</v>
      </c>
      <c r="K48" s="188">
        <v>1.4400000000000002</v>
      </c>
      <c r="L48" s="182">
        <v>0.18720000000000001</v>
      </c>
      <c r="M48" s="95">
        <v>36</v>
      </c>
      <c r="N48" s="182">
        <v>6.7392000000000003</v>
      </c>
      <c r="O48" s="192">
        <v>74.131200000000007</v>
      </c>
      <c r="P48" s="48"/>
      <c r="Q48" s="88" t="e">
        <f t="shared" si="0"/>
        <v>#VALUE!</v>
      </c>
      <c r="R48" s="657" t="s">
        <v>417</v>
      </c>
      <c r="S48" s="103">
        <v>529.37950000000001</v>
      </c>
      <c r="U48" s="4"/>
      <c r="V48" s="82"/>
      <c r="W48" s="82"/>
      <c r="X48" s="4"/>
    </row>
    <row r="49" spans="1:24" ht="20.100000000000001" customHeight="1" thickBot="1" x14ac:dyDescent="0.3">
      <c r="A49" s="1246"/>
      <c r="B49" s="12">
        <v>1200</v>
      </c>
      <c r="C49" s="13">
        <v>600</v>
      </c>
      <c r="D49" s="14">
        <v>140</v>
      </c>
      <c r="E49" s="238" t="s">
        <v>339</v>
      </c>
      <c r="F49" s="107">
        <v>100</v>
      </c>
      <c r="G49" s="116">
        <v>15.500992063492063</v>
      </c>
      <c r="H49" s="219" t="s">
        <v>172</v>
      </c>
      <c r="I49" s="594">
        <f>IF(E49="C",ROUNDUP(5500/100/ФасадDDP!O49,0)*ФасадDDP!O49," ")</f>
        <v>58.0608</v>
      </c>
      <c r="J49" s="47">
        <v>2</v>
      </c>
      <c r="K49" s="188">
        <v>1.4400000000000002</v>
      </c>
      <c r="L49" s="182">
        <v>0.2016</v>
      </c>
      <c r="M49" s="95">
        <v>32</v>
      </c>
      <c r="N49" s="182">
        <v>6.4512</v>
      </c>
      <c r="O49" s="192">
        <v>70.963200000000001</v>
      </c>
      <c r="P49" s="48"/>
      <c r="Q49" s="88" t="e">
        <f t="shared" si="0"/>
        <v>#VALUE!</v>
      </c>
      <c r="R49" s="657" t="s">
        <v>417</v>
      </c>
      <c r="S49" s="38">
        <v>570.101</v>
      </c>
      <c r="U49" s="4"/>
      <c r="V49" s="82"/>
      <c r="W49" s="82"/>
      <c r="X49" s="4"/>
    </row>
    <row r="50" spans="1:24" ht="20.100000000000001" customHeight="1" thickBot="1" x14ac:dyDescent="0.3">
      <c r="A50" s="1246"/>
      <c r="B50" s="12">
        <v>1200</v>
      </c>
      <c r="C50" s="13">
        <v>600</v>
      </c>
      <c r="D50" s="14">
        <v>150</v>
      </c>
      <c r="E50" s="238" t="s">
        <v>339</v>
      </c>
      <c r="F50" s="107">
        <v>100</v>
      </c>
      <c r="G50" s="116">
        <v>14.467592592592593</v>
      </c>
      <c r="H50" s="219" t="s">
        <v>248</v>
      </c>
      <c r="I50" s="594">
        <f>IF(E50="C",ROUNDUP(5500/100/ФасадDDP!O50,0)*ФасадDDP!O50," ")</f>
        <v>55.295999999999999</v>
      </c>
      <c r="J50" s="47">
        <v>2</v>
      </c>
      <c r="K50" s="188">
        <v>1.4400000000000002</v>
      </c>
      <c r="L50" s="182">
        <v>0.216</v>
      </c>
      <c r="M50" s="95">
        <v>32</v>
      </c>
      <c r="N50" s="182">
        <v>6.9119999999999999</v>
      </c>
      <c r="O50" s="192">
        <v>76.031999999999996</v>
      </c>
      <c r="P50" s="48"/>
      <c r="Q50" s="88" t="e">
        <f t="shared" si="0"/>
        <v>#VALUE!</v>
      </c>
      <c r="R50" s="657" t="s">
        <v>417</v>
      </c>
      <c r="S50" s="104">
        <v>610.82249999999999</v>
      </c>
      <c r="U50" s="4"/>
      <c r="V50" s="82"/>
      <c r="W50" s="82"/>
      <c r="X50" s="4"/>
    </row>
    <row r="51" spans="1:24" ht="20.100000000000001" customHeight="1" thickBot="1" x14ac:dyDescent="0.3">
      <c r="A51" s="1246"/>
      <c r="B51" s="12">
        <v>1200</v>
      </c>
      <c r="C51" s="13">
        <v>600</v>
      </c>
      <c r="D51" s="14">
        <v>160</v>
      </c>
      <c r="E51" s="238" t="s">
        <v>339</v>
      </c>
      <c r="F51" s="107">
        <v>100</v>
      </c>
      <c r="G51" s="116">
        <v>15.500992063492063</v>
      </c>
      <c r="H51" s="219" t="s">
        <v>173</v>
      </c>
      <c r="I51" s="594">
        <f>IF(E51="C",ROUNDUP(5500/100/ФасадDDP!O51,0)*ФасадDDP!O51," ")</f>
        <v>58.060799999999993</v>
      </c>
      <c r="J51" s="47">
        <v>2</v>
      </c>
      <c r="K51" s="188">
        <v>1.44</v>
      </c>
      <c r="L51" s="182">
        <v>0.23039999999999999</v>
      </c>
      <c r="M51" s="95">
        <v>28</v>
      </c>
      <c r="N51" s="182">
        <v>6.4512</v>
      </c>
      <c r="O51" s="192">
        <v>70.963200000000001</v>
      </c>
      <c r="P51" s="48"/>
      <c r="Q51" s="88" t="e">
        <f t="shared" si="0"/>
        <v>#VALUE!</v>
      </c>
      <c r="R51" s="657" t="s">
        <v>417</v>
      </c>
      <c r="S51" s="105">
        <v>651.54399999999998</v>
      </c>
      <c r="U51" s="4"/>
      <c r="V51" s="82"/>
      <c r="W51" s="82"/>
      <c r="X51" s="4"/>
    </row>
    <row r="52" spans="1:24" ht="20.100000000000001" customHeight="1" thickBot="1" x14ac:dyDescent="0.3">
      <c r="A52" s="1246"/>
      <c r="B52" s="203">
        <v>1200</v>
      </c>
      <c r="C52" s="204">
        <v>600</v>
      </c>
      <c r="D52" s="209">
        <v>170</v>
      </c>
      <c r="E52" s="238" t="s">
        <v>339</v>
      </c>
      <c r="F52" s="263">
        <v>100</v>
      </c>
      <c r="G52" s="263">
        <v>14.589169000933706</v>
      </c>
      <c r="H52" s="264" t="s">
        <v>174</v>
      </c>
      <c r="I52" s="594">
        <f>IF(E52="C",ROUNDUP(5500/100/ФасадDDP!O52,0)*ФасадDDP!O52," ")</f>
        <v>61.689599999999999</v>
      </c>
      <c r="J52" s="97">
        <v>2</v>
      </c>
      <c r="K52" s="265">
        <v>1.44</v>
      </c>
      <c r="L52" s="126">
        <v>0.24479999999999999</v>
      </c>
      <c r="M52" s="127">
        <v>28</v>
      </c>
      <c r="N52" s="126">
        <v>6.8544</v>
      </c>
      <c r="O52" s="227">
        <v>75.398399999999995</v>
      </c>
      <c r="P52" s="266"/>
      <c r="Q52" s="88" t="e">
        <f t="shared" si="0"/>
        <v>#VALUE!</v>
      </c>
      <c r="R52" s="657" t="s">
        <v>417</v>
      </c>
      <c r="S52" s="267">
        <v>692.26549999999986</v>
      </c>
      <c r="U52" s="4"/>
      <c r="V52" s="82"/>
      <c r="W52" s="82"/>
      <c r="X52" s="4"/>
    </row>
    <row r="53" spans="1:24" ht="20.100000000000001" customHeight="1" thickBot="1" x14ac:dyDescent="0.3">
      <c r="A53" s="1246"/>
      <c r="B53" s="203">
        <v>1200</v>
      </c>
      <c r="C53" s="204">
        <v>600</v>
      </c>
      <c r="D53" s="209">
        <v>180</v>
      </c>
      <c r="E53" s="238" t="s">
        <v>339</v>
      </c>
      <c r="F53" s="263">
        <v>100</v>
      </c>
      <c r="G53" s="263">
        <v>16.075102880658438</v>
      </c>
      <c r="H53" s="264" t="s">
        <v>175</v>
      </c>
      <c r="I53" s="594">
        <f>IF(E53="C",ROUNDUP(5500/100/ФасадDDP!O53,0)*ФасадDDP!O53," ")</f>
        <v>55.987199999999994</v>
      </c>
      <c r="J53" s="97">
        <v>2</v>
      </c>
      <c r="K53" s="265">
        <v>1.44</v>
      </c>
      <c r="L53" s="126">
        <v>0.25919999999999999</v>
      </c>
      <c r="M53" s="127">
        <v>24</v>
      </c>
      <c r="N53" s="126">
        <v>6.2207999999999997</v>
      </c>
      <c r="O53" s="227">
        <v>68.428799999999995</v>
      </c>
      <c r="P53" s="266"/>
      <c r="Q53" s="88" t="e">
        <f t="shared" si="0"/>
        <v>#VALUE!</v>
      </c>
      <c r="R53" s="657" t="s">
        <v>417</v>
      </c>
      <c r="S53" s="314">
        <v>732.98699999999985</v>
      </c>
      <c r="U53" s="4"/>
      <c r="V53" s="82"/>
      <c r="W53" s="82"/>
      <c r="X53" s="4"/>
    </row>
    <row r="54" spans="1:24" ht="20.100000000000001" customHeight="1" thickBot="1" x14ac:dyDescent="0.3">
      <c r="A54" s="1246"/>
      <c r="B54" s="203">
        <v>1200</v>
      </c>
      <c r="C54" s="204">
        <v>600</v>
      </c>
      <c r="D54" s="209">
        <v>190</v>
      </c>
      <c r="E54" s="238" t="s">
        <v>339</v>
      </c>
      <c r="F54" s="263">
        <v>100</v>
      </c>
      <c r="G54" s="263">
        <v>15.229044834307993</v>
      </c>
      <c r="H54" s="264" t="s">
        <v>176</v>
      </c>
      <c r="I54" s="594">
        <f>IF(E54="C",ROUNDUP(5500/100/ФасадDDP!O54,0)*ФасадDDP!O54," ")</f>
        <v>59.097599999999993</v>
      </c>
      <c r="J54" s="97">
        <v>2</v>
      </c>
      <c r="K54" s="265">
        <v>1.4400000000000002</v>
      </c>
      <c r="L54" s="126">
        <v>0.27360000000000001</v>
      </c>
      <c r="M54" s="127">
        <v>24</v>
      </c>
      <c r="N54" s="126">
        <v>6.5663999999999998</v>
      </c>
      <c r="O54" s="227">
        <v>72.230400000000003</v>
      </c>
      <c r="P54" s="266"/>
      <c r="Q54" s="88" t="e">
        <f t="shared" si="0"/>
        <v>#VALUE!</v>
      </c>
      <c r="R54" s="657" t="s">
        <v>417</v>
      </c>
      <c r="S54" s="315">
        <v>773.70849999999984</v>
      </c>
      <c r="U54" s="4"/>
      <c r="V54" s="82"/>
      <c r="W54" s="82"/>
      <c r="X54" s="4"/>
    </row>
    <row r="55" spans="1:24" ht="20.100000000000001" customHeight="1" thickBot="1" x14ac:dyDescent="0.3">
      <c r="A55" s="1247"/>
      <c r="B55" s="240">
        <v>1200</v>
      </c>
      <c r="C55" s="241">
        <v>600</v>
      </c>
      <c r="D55" s="242">
        <v>200</v>
      </c>
      <c r="E55" s="238" t="s">
        <v>339</v>
      </c>
      <c r="F55" s="316">
        <v>100</v>
      </c>
      <c r="G55" s="289">
        <v>14.467592592592595</v>
      </c>
      <c r="H55" s="317" t="s">
        <v>177</v>
      </c>
      <c r="I55" s="593">
        <f>IF(E55="C",ROUNDUP(5500/100/ФасадDDP!O55,0)*ФасадDDP!O55," ")</f>
        <v>55.295999999999992</v>
      </c>
      <c r="J55" s="306">
        <v>1</v>
      </c>
      <c r="K55" s="307">
        <v>0.72</v>
      </c>
      <c r="L55" s="129">
        <v>0.14399999999999999</v>
      </c>
      <c r="M55" s="130">
        <v>48</v>
      </c>
      <c r="N55" s="129">
        <v>6.911999999999999</v>
      </c>
      <c r="O55" s="260">
        <v>76.031999999999982</v>
      </c>
      <c r="P55" s="308"/>
      <c r="Q55" s="479" t="e">
        <f t="shared" si="0"/>
        <v>#VALUE!</v>
      </c>
      <c r="R55" s="657" t="s">
        <v>417</v>
      </c>
      <c r="S55" s="318">
        <v>814.42999999999984</v>
      </c>
      <c r="U55" s="4"/>
      <c r="V55" s="82"/>
      <c r="W55" s="82"/>
      <c r="X55" s="4"/>
    </row>
    <row r="56" spans="1:24" ht="20.100000000000001" customHeight="1" thickBot="1" x14ac:dyDescent="0.3">
      <c r="A56" s="35" t="s">
        <v>13</v>
      </c>
      <c r="B56" s="252">
        <v>1200</v>
      </c>
      <c r="C56" s="250">
        <v>600</v>
      </c>
      <c r="D56" s="251">
        <v>50</v>
      </c>
      <c r="E56" s="238" t="s">
        <v>239</v>
      </c>
      <c r="F56" s="319"/>
      <c r="G56" s="319">
        <v>0</v>
      </c>
      <c r="H56" s="310" t="s">
        <v>700</v>
      </c>
      <c r="I56" s="592" t="str">
        <f>IF(E56="C",ROUNDUP(5500/145/ФасадDDP!O56,0)*ФасадDDP!O56," ")</f>
        <v xml:space="preserve"> </v>
      </c>
      <c r="J56" s="311">
        <v>6</v>
      </c>
      <c r="K56" s="265">
        <v>4.32</v>
      </c>
      <c r="L56" s="132">
        <v>0.216</v>
      </c>
      <c r="M56" s="320">
        <v>32</v>
      </c>
      <c r="N56" s="132">
        <v>6.9119999999999999</v>
      </c>
      <c r="O56" s="226">
        <v>76.031999999999996</v>
      </c>
      <c r="P56" s="321"/>
      <c r="Q56" s="88">
        <f>L56*R56</f>
        <v>1370.52</v>
      </c>
      <c r="R56" s="656">
        <v>6345</v>
      </c>
      <c r="S56" s="286">
        <v>203.60749999999996</v>
      </c>
      <c r="U56" s="4"/>
      <c r="V56" s="82"/>
      <c r="X56" s="4"/>
    </row>
    <row r="57" spans="1:24" ht="20.100000000000001" customHeight="1" thickBot="1" x14ac:dyDescent="0.3">
      <c r="A57" s="1246" t="s">
        <v>30</v>
      </c>
      <c r="B57" s="203">
        <v>1200</v>
      </c>
      <c r="C57" s="204">
        <v>600</v>
      </c>
      <c r="D57" s="209">
        <v>60</v>
      </c>
      <c r="E57" s="238" t="s">
        <v>339</v>
      </c>
      <c r="F57" s="263">
        <v>71.428571428571431</v>
      </c>
      <c r="G57" s="263">
        <v>10.333994708994709</v>
      </c>
      <c r="H57" s="264" t="s">
        <v>154</v>
      </c>
      <c r="I57" s="592">
        <f>IF(E57="C",ROUNDUP(5500/145/ФасадDDP!O57,0)*ФасадDDP!O57," ")</f>
        <v>41.471999999999994</v>
      </c>
      <c r="J57" s="97">
        <v>4</v>
      </c>
      <c r="K57" s="265">
        <v>2.8800000000000003</v>
      </c>
      <c r="L57" s="126">
        <v>0.17280000000000001</v>
      </c>
      <c r="M57" s="97">
        <v>40</v>
      </c>
      <c r="N57" s="126">
        <v>6.9120000000000008</v>
      </c>
      <c r="O57" s="227">
        <v>76.032000000000011</v>
      </c>
      <c r="P57" s="266"/>
      <c r="Q57" s="88">
        <f t="shared" si="0"/>
        <v>1096.4160000000002</v>
      </c>
      <c r="R57" s="657">
        <f>R56</f>
        <v>6345</v>
      </c>
      <c r="S57" s="276">
        <v>244.32899999999998</v>
      </c>
      <c r="U57" s="4"/>
      <c r="V57" s="82"/>
      <c r="X57" s="4"/>
    </row>
    <row r="58" spans="1:24" ht="20.100000000000001" customHeight="1" thickBot="1" x14ac:dyDescent="0.3">
      <c r="A58" s="1246"/>
      <c r="B58" s="203">
        <v>1200</v>
      </c>
      <c r="C58" s="204">
        <v>600</v>
      </c>
      <c r="D58" s="209">
        <v>70</v>
      </c>
      <c r="E58" s="238" t="s">
        <v>339</v>
      </c>
      <c r="F58" s="263">
        <v>71.428571428571431</v>
      </c>
      <c r="G58" s="263">
        <v>10.736617879475023</v>
      </c>
      <c r="H58" s="264" t="s">
        <v>155</v>
      </c>
      <c r="I58" s="592">
        <f>IF(E58="C",ROUNDUP(5500/145/ФасадDDP!O58,0)*ФасадDDP!O58," ")</f>
        <v>39.916800000000009</v>
      </c>
      <c r="J58" s="97">
        <v>3</v>
      </c>
      <c r="K58" s="265">
        <v>2.16</v>
      </c>
      <c r="L58" s="126">
        <v>0.1512</v>
      </c>
      <c r="M58" s="97">
        <v>44</v>
      </c>
      <c r="N58" s="126">
        <v>6.6528</v>
      </c>
      <c r="O58" s="227">
        <v>73.180800000000005</v>
      </c>
      <c r="P58" s="266"/>
      <c r="Q58" s="88">
        <f t="shared" si="0"/>
        <v>959.36400000000003</v>
      </c>
      <c r="R58" s="657">
        <f t="shared" ref="R58:R65" si="4">R57</f>
        <v>6345</v>
      </c>
      <c r="S58" s="267">
        <v>285.0505</v>
      </c>
      <c r="U58" s="4"/>
      <c r="V58" s="82"/>
      <c r="X58" s="4"/>
    </row>
    <row r="59" spans="1:24" ht="20.100000000000001" customHeight="1" thickBot="1" x14ac:dyDescent="0.3">
      <c r="A59" s="1246"/>
      <c r="B59" s="203">
        <v>1200</v>
      </c>
      <c r="C59" s="204">
        <v>600</v>
      </c>
      <c r="D59" s="209">
        <v>80</v>
      </c>
      <c r="E59" s="238" t="s">
        <v>339</v>
      </c>
      <c r="F59" s="263"/>
      <c r="G59" s="263">
        <v>0</v>
      </c>
      <c r="H59" s="264" t="s">
        <v>156</v>
      </c>
      <c r="I59" s="592">
        <f>IF(E59="C",ROUNDUP(5500/145/ФасадDDP!O59,0)*ФасадDDP!O59," ")</f>
        <v>41.472000000000008</v>
      </c>
      <c r="J59" s="274">
        <v>3</v>
      </c>
      <c r="K59" s="265">
        <v>2.16</v>
      </c>
      <c r="L59" s="126">
        <v>0.17280000000000001</v>
      </c>
      <c r="M59" s="97">
        <v>40</v>
      </c>
      <c r="N59" s="126">
        <v>6.9120000000000008</v>
      </c>
      <c r="O59" s="227">
        <v>76.032000000000011</v>
      </c>
      <c r="P59" s="266"/>
      <c r="Q59" s="88">
        <f t="shared" si="0"/>
        <v>1096.4160000000002</v>
      </c>
      <c r="R59" s="657">
        <f t="shared" si="4"/>
        <v>6345</v>
      </c>
      <c r="S59" s="38">
        <v>325.77199999999999</v>
      </c>
      <c r="U59" s="4"/>
      <c r="V59" s="82"/>
      <c r="X59" s="4"/>
    </row>
    <row r="60" spans="1:24" ht="20.100000000000001" customHeight="1" thickBot="1" x14ac:dyDescent="0.3">
      <c r="A60" s="1246"/>
      <c r="B60" s="203">
        <v>1200</v>
      </c>
      <c r="C60" s="204">
        <v>600</v>
      </c>
      <c r="D60" s="209">
        <v>90</v>
      </c>
      <c r="E60" s="238" t="s">
        <v>339</v>
      </c>
      <c r="F60" s="263">
        <v>71.428571428571431</v>
      </c>
      <c r="G60" s="263">
        <v>11.482216343327455</v>
      </c>
      <c r="H60" s="264" t="s">
        <v>701</v>
      </c>
      <c r="I60" s="592">
        <f>IF(E60="C",ROUNDUP(5500/145/ФасадDDP!O60,0)*ФасадDDP!O60," ")</f>
        <v>40.435199999999995</v>
      </c>
      <c r="J60" s="274">
        <v>2</v>
      </c>
      <c r="K60" s="322">
        <v>1.44</v>
      </c>
      <c r="L60" s="126">
        <v>0.12959999999999999</v>
      </c>
      <c r="M60" s="97">
        <v>52</v>
      </c>
      <c r="N60" s="126">
        <v>6.7392000000000003</v>
      </c>
      <c r="O60" s="227">
        <v>74.131200000000007</v>
      </c>
      <c r="P60" s="266"/>
      <c r="Q60" s="88">
        <f t="shared" si="0"/>
        <v>822.31200000000001</v>
      </c>
      <c r="R60" s="657">
        <f t="shared" si="4"/>
        <v>6345</v>
      </c>
      <c r="S60" s="104">
        <v>366.49349999999993</v>
      </c>
      <c r="U60" s="4"/>
      <c r="V60" s="82"/>
      <c r="W60" s="82"/>
      <c r="X60" s="4"/>
    </row>
    <row r="61" spans="1:24" ht="19.5" customHeight="1" thickBot="1" x14ac:dyDescent="0.3">
      <c r="A61" s="1246"/>
      <c r="B61" s="203">
        <v>1200</v>
      </c>
      <c r="C61" s="204">
        <v>600</v>
      </c>
      <c r="D61" s="209">
        <v>100</v>
      </c>
      <c r="E61" s="238" t="s">
        <v>239</v>
      </c>
      <c r="F61" s="263"/>
      <c r="G61" s="263">
        <v>0</v>
      </c>
      <c r="H61" s="264" t="s">
        <v>157</v>
      </c>
      <c r="I61" s="592" t="str">
        <f>IF(E61="C",ROUNDUP(5500/145/ФасадDDP!O61,0)*ФасадDDP!O61," ")</f>
        <v xml:space="preserve"> </v>
      </c>
      <c r="J61" s="97">
        <v>3</v>
      </c>
      <c r="K61" s="265">
        <v>2.16</v>
      </c>
      <c r="L61" s="126">
        <v>0.216</v>
      </c>
      <c r="M61" s="97">
        <v>32</v>
      </c>
      <c r="N61" s="126">
        <v>6.9119999999999999</v>
      </c>
      <c r="O61" s="227">
        <v>76.031999999999996</v>
      </c>
      <c r="P61" s="266"/>
      <c r="Q61" s="88">
        <f t="shared" si="0"/>
        <v>1370.52</v>
      </c>
      <c r="R61" s="657">
        <f t="shared" si="4"/>
        <v>6345</v>
      </c>
      <c r="S61" s="267">
        <v>407.21499999999992</v>
      </c>
      <c r="U61" s="4"/>
      <c r="V61" s="82"/>
      <c r="X61" s="4"/>
    </row>
    <row r="62" spans="1:24" ht="20.100000000000001" customHeight="1" thickBot="1" x14ac:dyDescent="0.3">
      <c r="A62" s="1246"/>
      <c r="B62" s="203">
        <v>1200</v>
      </c>
      <c r="C62" s="204">
        <v>600</v>
      </c>
      <c r="D62" s="209">
        <v>110</v>
      </c>
      <c r="E62" s="238" t="s">
        <v>339</v>
      </c>
      <c r="F62" s="263">
        <v>74.074074074074076</v>
      </c>
      <c r="G62" s="263">
        <v>11.690983913206136</v>
      </c>
      <c r="H62" s="264" t="s">
        <v>243</v>
      </c>
      <c r="I62" s="592">
        <f>IF(E62="C",ROUNDUP(5500/145/ФасадDDP!O62,0)*ФасадDDP!O62," ")</f>
        <v>38.016000000000005</v>
      </c>
      <c r="J62" s="97">
        <v>2</v>
      </c>
      <c r="K62" s="265">
        <v>1.4400000000000002</v>
      </c>
      <c r="L62" s="126">
        <v>0.15840000000000001</v>
      </c>
      <c r="M62" s="97">
        <v>40</v>
      </c>
      <c r="N62" s="126">
        <v>6.3360000000000003</v>
      </c>
      <c r="O62" s="227">
        <v>69.695999999999998</v>
      </c>
      <c r="P62" s="266"/>
      <c r="Q62" s="88">
        <f t="shared" si="0"/>
        <v>1005.0480000000001</v>
      </c>
      <c r="R62" s="657">
        <f t="shared" si="4"/>
        <v>6345</v>
      </c>
      <c r="S62" s="104">
        <v>447.93649999999997</v>
      </c>
      <c r="U62" s="4"/>
      <c r="V62" s="82"/>
      <c r="W62" s="82"/>
      <c r="X62" s="4"/>
    </row>
    <row r="63" spans="1:24" ht="20.100000000000001" customHeight="1" thickBot="1" x14ac:dyDescent="0.3">
      <c r="A63" s="1246"/>
      <c r="B63" s="203">
        <v>1200</v>
      </c>
      <c r="C63" s="204">
        <v>600</v>
      </c>
      <c r="D63" s="209">
        <v>120</v>
      </c>
      <c r="E63" s="238" t="s">
        <v>339</v>
      </c>
      <c r="F63" s="263"/>
      <c r="G63" s="263">
        <v>0</v>
      </c>
      <c r="H63" s="264" t="s">
        <v>158</v>
      </c>
      <c r="I63" s="592">
        <f>IF(E63="C",ROUNDUP(5500/145/ФасадDDP!O63,0)*ФасадDDP!O63," ")</f>
        <v>41.471999999999994</v>
      </c>
      <c r="J63" s="97">
        <v>2</v>
      </c>
      <c r="K63" s="265">
        <v>1.4400000000000002</v>
      </c>
      <c r="L63" s="126">
        <v>0.17280000000000001</v>
      </c>
      <c r="M63" s="97">
        <v>40</v>
      </c>
      <c r="N63" s="126">
        <v>6.9120000000000008</v>
      </c>
      <c r="O63" s="227">
        <v>76.032000000000011</v>
      </c>
      <c r="P63" s="266"/>
      <c r="Q63" s="88">
        <f t="shared" si="0"/>
        <v>1096.4160000000002</v>
      </c>
      <c r="R63" s="657">
        <f t="shared" si="4"/>
        <v>6345</v>
      </c>
      <c r="S63" s="105">
        <v>488.65799999999996</v>
      </c>
      <c r="U63" s="4"/>
      <c r="V63" s="82"/>
      <c r="X63" s="4"/>
    </row>
    <row r="64" spans="1:24" ht="20.100000000000001" customHeight="1" thickBot="1" x14ac:dyDescent="0.3">
      <c r="A64" s="1246"/>
      <c r="B64" s="203">
        <v>1200</v>
      </c>
      <c r="C64" s="204">
        <v>600</v>
      </c>
      <c r="D64" s="209">
        <v>130</v>
      </c>
      <c r="E64" s="238" t="s">
        <v>339</v>
      </c>
      <c r="F64" s="263">
        <v>74.074074074074076</v>
      </c>
      <c r="G64" s="263">
        <v>10.991523337202349</v>
      </c>
      <c r="H64" s="264" t="s">
        <v>159</v>
      </c>
      <c r="I64" s="592">
        <f>IF(E64="C",ROUNDUP(5500/145/ФасадDDP!O64,0)*ФасадDDP!O64," ")</f>
        <v>40.435199999999995</v>
      </c>
      <c r="J64" s="97">
        <v>2</v>
      </c>
      <c r="K64" s="265">
        <v>1.4400000000000002</v>
      </c>
      <c r="L64" s="126">
        <v>0.18720000000000001</v>
      </c>
      <c r="M64" s="97">
        <v>36</v>
      </c>
      <c r="N64" s="126">
        <v>6.7392000000000003</v>
      </c>
      <c r="O64" s="227">
        <v>74.131200000000007</v>
      </c>
      <c r="P64" s="266"/>
      <c r="Q64" s="88">
        <f t="shared" si="0"/>
        <v>1187.7840000000001</v>
      </c>
      <c r="R64" s="657">
        <f t="shared" si="4"/>
        <v>6345</v>
      </c>
      <c r="S64" s="103">
        <v>529.37950000000001</v>
      </c>
      <c r="U64" s="4"/>
      <c r="V64" s="82"/>
      <c r="X64" s="4"/>
    </row>
    <row r="65" spans="1:24" ht="20.100000000000001" customHeight="1" thickBot="1" x14ac:dyDescent="0.3">
      <c r="A65" s="1246"/>
      <c r="B65" s="12">
        <v>1200</v>
      </c>
      <c r="C65" s="13">
        <v>600</v>
      </c>
      <c r="D65" s="14">
        <v>140</v>
      </c>
      <c r="E65" s="238" t="s">
        <v>339</v>
      </c>
      <c r="F65" s="107">
        <v>74.074074074074076</v>
      </c>
      <c r="G65" s="116">
        <v>11.482216343327455</v>
      </c>
      <c r="H65" s="219" t="s">
        <v>160</v>
      </c>
      <c r="I65" s="592">
        <f>IF(E65="C",ROUNDUP(5500/145/ФасадDDP!O65,0)*ФасадDDP!O65," ")</f>
        <v>38.7072</v>
      </c>
      <c r="J65" s="47">
        <v>2</v>
      </c>
      <c r="K65" s="188">
        <v>1.4400000000000002</v>
      </c>
      <c r="L65" s="182">
        <v>0.2016</v>
      </c>
      <c r="M65" s="47">
        <v>32</v>
      </c>
      <c r="N65" s="182">
        <v>6.4512</v>
      </c>
      <c r="O65" s="194">
        <v>70.963200000000001</v>
      </c>
      <c r="P65" s="48"/>
      <c r="Q65" s="88">
        <f t="shared" si="0"/>
        <v>1279.152</v>
      </c>
      <c r="R65" s="657">
        <f t="shared" si="4"/>
        <v>6345</v>
      </c>
      <c r="S65" s="38">
        <v>570.101</v>
      </c>
      <c r="U65" s="4"/>
      <c r="V65" s="82"/>
      <c r="W65" s="82"/>
      <c r="X65" s="4"/>
    </row>
    <row r="66" spans="1:24" ht="20.100000000000001" customHeight="1" thickBot="1" x14ac:dyDescent="0.3">
      <c r="A66" s="1247"/>
      <c r="B66" s="15">
        <v>1200</v>
      </c>
      <c r="C66" s="16">
        <v>600</v>
      </c>
      <c r="D66" s="17">
        <v>150</v>
      </c>
      <c r="E66" s="454" t="s">
        <v>239</v>
      </c>
      <c r="F66" s="108">
        <v>74.074074074074076</v>
      </c>
      <c r="G66" s="444">
        <v>10.716735253772292</v>
      </c>
      <c r="H66" s="442" t="s">
        <v>161</v>
      </c>
      <c r="I66" s="592" t="str">
        <f>IF(E66="C",ROUNDUP(5500/145/ФасадDDP!O66,0)*ФасадDDP!O66," ")</f>
        <v xml:space="preserve"> </v>
      </c>
      <c r="J66" s="49">
        <v>2</v>
      </c>
      <c r="K66" s="456">
        <v>1.4400000000000002</v>
      </c>
      <c r="L66" s="184">
        <v>0.216</v>
      </c>
      <c r="M66" s="49">
        <v>32</v>
      </c>
      <c r="N66" s="184">
        <v>6.9119999999999999</v>
      </c>
      <c r="O66" s="457">
        <v>76.031999999999996</v>
      </c>
      <c r="P66" s="50"/>
      <c r="Q66" s="614">
        <f t="shared" si="0"/>
        <v>1370.52</v>
      </c>
      <c r="R66" s="831">
        <f>R65</f>
        <v>6345</v>
      </c>
      <c r="S66" s="40">
        <v>610.82249999999999</v>
      </c>
      <c r="U66" s="4"/>
      <c r="V66" s="82"/>
      <c r="X66" s="4"/>
    </row>
    <row r="67" spans="1:24" ht="20.100000000000001" customHeight="1" thickBot="1" x14ac:dyDescent="0.3">
      <c r="A67" s="1088" t="s">
        <v>474</v>
      </c>
      <c r="B67" s="249">
        <v>1200</v>
      </c>
      <c r="C67" s="287">
        <v>600</v>
      </c>
      <c r="D67" s="288">
        <v>50</v>
      </c>
      <c r="E67" s="664" t="s">
        <v>239</v>
      </c>
      <c r="F67" s="319"/>
      <c r="G67" s="319">
        <v>0</v>
      </c>
      <c r="H67" s="1052" t="s">
        <v>710</v>
      </c>
      <c r="I67" s="592" t="str">
        <f>IF(E67="C",ROUNDUP(5500/135/ФасадDDP!O67,0)*ФасадDDP!O67," ")</f>
        <v xml:space="preserve"> </v>
      </c>
      <c r="J67" s="320">
        <v>6</v>
      </c>
      <c r="K67" s="265">
        <v>3.6</v>
      </c>
      <c r="L67" s="132">
        <v>0.18</v>
      </c>
      <c r="M67" s="320">
        <v>32</v>
      </c>
      <c r="N67" s="132">
        <v>6.9119999999999999</v>
      </c>
      <c r="O67" s="226">
        <v>76.031999999999996</v>
      </c>
      <c r="P67" s="612"/>
      <c r="Q67" s="88">
        <f>L67*R67</f>
        <v>1028.7</v>
      </c>
      <c r="R67" s="897">
        <v>5715</v>
      </c>
      <c r="S67" s="315">
        <v>203.60749999999996</v>
      </c>
      <c r="U67" s="4"/>
      <c r="V67" s="82"/>
      <c r="X67" s="4"/>
    </row>
    <row r="68" spans="1:24" ht="20.100000000000001" customHeight="1" thickBot="1" x14ac:dyDescent="0.3">
      <c r="A68" s="876"/>
      <c r="B68" s="203">
        <v>1200</v>
      </c>
      <c r="C68" s="204">
        <v>600</v>
      </c>
      <c r="D68" s="209">
        <v>60</v>
      </c>
      <c r="E68" s="238" t="s">
        <v>339</v>
      </c>
      <c r="F68" s="263">
        <v>71.428571428571431</v>
      </c>
      <c r="G68" s="263">
        <v>10.333994708994709</v>
      </c>
      <c r="H68" s="264" t="s">
        <v>475</v>
      </c>
      <c r="I68" s="592">
        <f>IF(E68="C",ROUNDUP(5500/135/ФасадDDP!O68,0)*ФасадDDP!O68," ")</f>
        <v>41.471999999999994</v>
      </c>
      <c r="J68" s="97">
        <v>4</v>
      </c>
      <c r="K68" s="265">
        <v>2.8800000000000003</v>
      </c>
      <c r="L68" s="126">
        <v>0.17280000000000001</v>
      </c>
      <c r="M68" s="97">
        <v>40</v>
      </c>
      <c r="N68" s="126">
        <v>6.9120000000000008</v>
      </c>
      <c r="O68" s="227">
        <v>76.032000000000011</v>
      </c>
      <c r="P68" s="266"/>
      <c r="Q68" s="88">
        <f t="shared" ref="Q68:Q82" si="5">L68*R68</f>
        <v>987.55200000000002</v>
      </c>
      <c r="R68" s="657">
        <f>R67</f>
        <v>5715</v>
      </c>
      <c r="S68" s="276">
        <v>244.32899999999998</v>
      </c>
      <c r="U68" s="4"/>
      <c r="V68" s="82"/>
      <c r="X68" s="4"/>
    </row>
    <row r="69" spans="1:24" ht="20.100000000000001" customHeight="1" thickBot="1" x14ac:dyDescent="0.3">
      <c r="A69" s="876"/>
      <c r="B69" s="203">
        <v>1200</v>
      </c>
      <c r="C69" s="204">
        <v>600</v>
      </c>
      <c r="D69" s="209">
        <v>70</v>
      </c>
      <c r="E69" s="238" t="s">
        <v>339</v>
      </c>
      <c r="F69" s="263">
        <v>71.428571428571431</v>
      </c>
      <c r="G69" s="263">
        <v>10.736617879475023</v>
      </c>
      <c r="H69" s="264" t="s">
        <v>476</v>
      </c>
      <c r="I69" s="592">
        <f>IF(E69="C",ROUNDUP(5500/135/ФасадDDP!O69,0)*ФасадDDP!O69," ")</f>
        <v>46.569600000000008</v>
      </c>
      <c r="J69" s="97">
        <v>3</v>
      </c>
      <c r="K69" s="265">
        <v>2.16</v>
      </c>
      <c r="L69" s="126">
        <v>0.1512</v>
      </c>
      <c r="M69" s="97">
        <v>44</v>
      </c>
      <c r="N69" s="126">
        <v>6.6528</v>
      </c>
      <c r="O69" s="227">
        <v>73.180800000000005</v>
      </c>
      <c r="P69" s="266"/>
      <c r="Q69" s="88">
        <f t="shared" si="5"/>
        <v>864.10800000000006</v>
      </c>
      <c r="R69" s="657">
        <f t="shared" ref="R69:R78" si="6">R68</f>
        <v>5715</v>
      </c>
      <c r="S69" s="267">
        <v>285.0505</v>
      </c>
      <c r="U69" s="4"/>
      <c r="V69" s="82"/>
      <c r="X69" s="4"/>
    </row>
    <row r="70" spans="1:24" ht="20.100000000000001" customHeight="1" thickBot="1" x14ac:dyDescent="0.3">
      <c r="A70" s="876"/>
      <c r="B70" s="203">
        <v>1200</v>
      </c>
      <c r="C70" s="204">
        <v>600</v>
      </c>
      <c r="D70" s="209">
        <v>80</v>
      </c>
      <c r="E70" s="238" t="s">
        <v>339</v>
      </c>
      <c r="F70" s="263"/>
      <c r="G70" s="263">
        <v>0</v>
      </c>
      <c r="H70" s="264" t="s">
        <v>477</v>
      </c>
      <c r="I70" s="592">
        <f>IF(E70="C",ROUNDUP(5500/135/ФасадDDP!O70,0)*ФасадDDP!O70," ")</f>
        <v>41.472000000000008</v>
      </c>
      <c r="J70" s="274">
        <v>3</v>
      </c>
      <c r="K70" s="265">
        <v>2.16</v>
      </c>
      <c r="L70" s="126">
        <v>0.17280000000000001</v>
      </c>
      <c r="M70" s="97">
        <v>40</v>
      </c>
      <c r="N70" s="126">
        <v>6.9120000000000008</v>
      </c>
      <c r="O70" s="227">
        <v>76.032000000000011</v>
      </c>
      <c r="P70" s="266"/>
      <c r="Q70" s="88">
        <f t="shared" si="5"/>
        <v>987.55200000000002</v>
      </c>
      <c r="R70" s="657">
        <f t="shared" si="6"/>
        <v>5715</v>
      </c>
      <c r="S70" s="38">
        <v>325.77199999999999</v>
      </c>
      <c r="U70" s="4"/>
      <c r="V70" s="82"/>
      <c r="X70" s="4"/>
    </row>
    <row r="71" spans="1:24" ht="20.100000000000001" customHeight="1" thickBot="1" x14ac:dyDescent="0.3">
      <c r="A71" s="876"/>
      <c r="B71" s="203">
        <v>1200</v>
      </c>
      <c r="C71" s="204">
        <v>600</v>
      </c>
      <c r="D71" s="209">
        <v>90</v>
      </c>
      <c r="E71" s="238" t="s">
        <v>339</v>
      </c>
      <c r="F71" s="263">
        <v>71.428571428571431</v>
      </c>
      <c r="G71" s="263">
        <v>11.482216343327455</v>
      </c>
      <c r="H71" s="264" t="s">
        <v>478</v>
      </c>
      <c r="I71" s="592">
        <f>IF(E71="C",ROUNDUP(5500/135/ФасадDDP!O71,0)*ФасадDDP!O71," ")</f>
        <v>43.545600000000007</v>
      </c>
      <c r="J71" s="274">
        <v>3</v>
      </c>
      <c r="K71" s="322">
        <v>2.16</v>
      </c>
      <c r="L71" s="126">
        <v>0.19439999999999999</v>
      </c>
      <c r="M71" s="97">
        <v>32</v>
      </c>
      <c r="N71" s="126">
        <v>6.2207999999999997</v>
      </c>
      <c r="O71" s="227">
        <v>68.428799999999995</v>
      </c>
      <c r="P71" s="266"/>
      <c r="Q71" s="88">
        <f t="shared" si="5"/>
        <v>1110.9959999999999</v>
      </c>
      <c r="R71" s="657">
        <f t="shared" si="6"/>
        <v>5715</v>
      </c>
      <c r="S71" s="104">
        <v>366.49349999999993</v>
      </c>
      <c r="U71" s="4"/>
      <c r="V71" s="82"/>
      <c r="W71" s="82"/>
      <c r="X71" s="4"/>
    </row>
    <row r="72" spans="1:24" ht="19.5" customHeight="1" thickBot="1" x14ac:dyDescent="0.3">
      <c r="A72" s="876"/>
      <c r="B72" s="203">
        <v>1200</v>
      </c>
      <c r="C72" s="204">
        <v>600</v>
      </c>
      <c r="D72" s="209">
        <v>100</v>
      </c>
      <c r="E72" s="238" t="s">
        <v>239</v>
      </c>
      <c r="F72" s="263"/>
      <c r="G72" s="263">
        <v>0</v>
      </c>
      <c r="H72" s="264" t="s">
        <v>479</v>
      </c>
      <c r="I72" s="592" t="str">
        <f>IF(E72="C",ROUNDUP(5500/135/ФасадDDP!O72,0)*ФасадDDP!O72," ")</f>
        <v xml:space="preserve"> </v>
      </c>
      <c r="J72" s="97">
        <v>3</v>
      </c>
      <c r="K72" s="265">
        <v>2.16</v>
      </c>
      <c r="L72" s="126">
        <v>0.216</v>
      </c>
      <c r="M72" s="97">
        <v>32</v>
      </c>
      <c r="N72" s="126">
        <v>6.9119999999999999</v>
      </c>
      <c r="O72" s="227">
        <v>76.031999999999996</v>
      </c>
      <c r="P72" s="266"/>
      <c r="Q72" s="88">
        <f t="shared" si="5"/>
        <v>1234.44</v>
      </c>
      <c r="R72" s="657">
        <f t="shared" si="6"/>
        <v>5715</v>
      </c>
      <c r="S72" s="267">
        <v>407.21499999999992</v>
      </c>
      <c r="U72" s="4"/>
      <c r="V72" s="82"/>
      <c r="X72" s="4"/>
    </row>
    <row r="73" spans="1:24" ht="20.100000000000001" customHeight="1" thickBot="1" x14ac:dyDescent="0.3">
      <c r="A73" s="876"/>
      <c r="B73" s="203">
        <v>1200</v>
      </c>
      <c r="C73" s="204">
        <v>600</v>
      </c>
      <c r="D73" s="209">
        <v>110</v>
      </c>
      <c r="E73" s="238" t="s">
        <v>339</v>
      </c>
      <c r="F73" s="263">
        <v>74.074074074074076</v>
      </c>
      <c r="G73" s="263">
        <v>11.690983913206136</v>
      </c>
      <c r="H73" s="264" t="s">
        <v>480</v>
      </c>
      <c r="I73" s="592">
        <f>IF(E73="C",ROUNDUP(5500/135/ФасадDDP!O73,0)*ФасадDDP!O73," ")</f>
        <v>44.352000000000004</v>
      </c>
      <c r="J73" s="97">
        <v>2</v>
      </c>
      <c r="K73" s="265">
        <v>1.4400000000000002</v>
      </c>
      <c r="L73" s="126">
        <v>0.15840000000000001</v>
      </c>
      <c r="M73" s="97">
        <v>40</v>
      </c>
      <c r="N73" s="126">
        <v>6.3360000000000003</v>
      </c>
      <c r="O73" s="227">
        <v>69.695999999999998</v>
      </c>
      <c r="P73" s="266"/>
      <c r="Q73" s="88">
        <f t="shared" si="5"/>
        <v>905.25600000000009</v>
      </c>
      <c r="R73" s="657">
        <f t="shared" si="6"/>
        <v>5715</v>
      </c>
      <c r="S73" s="104">
        <v>447.93649999999997</v>
      </c>
      <c r="U73" s="4"/>
      <c r="V73" s="82"/>
      <c r="W73" s="82"/>
      <c r="X73" s="4"/>
    </row>
    <row r="74" spans="1:24" ht="20.100000000000001" customHeight="1" thickBot="1" x14ac:dyDescent="0.3">
      <c r="A74" s="876"/>
      <c r="B74" s="203">
        <v>1200</v>
      </c>
      <c r="C74" s="204">
        <v>600</v>
      </c>
      <c r="D74" s="209">
        <v>120</v>
      </c>
      <c r="E74" s="238" t="s">
        <v>339</v>
      </c>
      <c r="F74" s="263"/>
      <c r="G74" s="263">
        <v>0</v>
      </c>
      <c r="H74" s="264" t="s">
        <v>481</v>
      </c>
      <c r="I74" s="592">
        <f>IF(E74="C",ROUNDUP(5500/135/ФасадDDP!O74,0)*ФасадDDP!O74," ")</f>
        <v>41.471999999999994</v>
      </c>
      <c r="J74" s="97">
        <v>2</v>
      </c>
      <c r="K74" s="265">
        <v>1.4400000000000002</v>
      </c>
      <c r="L74" s="126">
        <v>0.17280000000000001</v>
      </c>
      <c r="M74" s="97">
        <v>40</v>
      </c>
      <c r="N74" s="126">
        <v>6.9120000000000008</v>
      </c>
      <c r="O74" s="227">
        <v>76.032000000000011</v>
      </c>
      <c r="P74" s="266"/>
      <c r="Q74" s="88">
        <f t="shared" si="5"/>
        <v>987.55200000000002</v>
      </c>
      <c r="R74" s="657">
        <f t="shared" si="6"/>
        <v>5715</v>
      </c>
      <c r="S74" s="105">
        <v>488.65799999999996</v>
      </c>
      <c r="U74" s="4"/>
      <c r="V74" s="82"/>
      <c r="X74" s="4"/>
    </row>
    <row r="75" spans="1:24" ht="20.100000000000001" customHeight="1" thickBot="1" x14ac:dyDescent="0.3">
      <c r="A75" s="876"/>
      <c r="B75" s="203">
        <v>1200</v>
      </c>
      <c r="C75" s="204">
        <v>600</v>
      </c>
      <c r="D75" s="209">
        <v>130</v>
      </c>
      <c r="E75" s="238" t="s">
        <v>339</v>
      </c>
      <c r="F75" s="263">
        <v>74.074074074074076</v>
      </c>
      <c r="G75" s="263">
        <v>10.991523337202349</v>
      </c>
      <c r="H75" s="264" t="s">
        <v>482</v>
      </c>
      <c r="I75" s="592">
        <f>IF(E75="C",ROUNDUP(5500/135/ФасадDDP!O75,0)*ФасадDDP!O75," ")</f>
        <v>47.174399999999999</v>
      </c>
      <c r="J75" s="97">
        <v>2</v>
      </c>
      <c r="K75" s="265">
        <v>1.4400000000000002</v>
      </c>
      <c r="L75" s="126">
        <v>0.18720000000000001</v>
      </c>
      <c r="M75" s="97">
        <v>36</v>
      </c>
      <c r="N75" s="126">
        <v>6.7392000000000003</v>
      </c>
      <c r="O75" s="227">
        <v>74.131200000000007</v>
      </c>
      <c r="P75" s="266"/>
      <c r="Q75" s="88">
        <f t="shared" si="5"/>
        <v>1069.848</v>
      </c>
      <c r="R75" s="657">
        <f t="shared" si="6"/>
        <v>5715</v>
      </c>
      <c r="S75" s="103">
        <v>529.37950000000001</v>
      </c>
      <c r="U75" s="4"/>
      <c r="V75" s="82"/>
      <c r="X75" s="4"/>
    </row>
    <row r="76" spans="1:24" ht="20.100000000000001" customHeight="1" thickBot="1" x14ac:dyDescent="0.3">
      <c r="A76" s="876"/>
      <c r="B76" s="12">
        <v>1200</v>
      </c>
      <c r="C76" s="13">
        <v>600</v>
      </c>
      <c r="D76" s="14">
        <v>140</v>
      </c>
      <c r="E76" s="238" t="s">
        <v>339</v>
      </c>
      <c r="F76" s="107">
        <v>74.074074074074076</v>
      </c>
      <c r="G76" s="116">
        <v>11.482216343327455</v>
      </c>
      <c r="H76" s="219" t="s">
        <v>483</v>
      </c>
      <c r="I76" s="592">
        <f>IF(E76="C",ROUNDUP(5500/135/ФасадDDP!O76,0)*ФасадDDP!O76," ")</f>
        <v>45.1584</v>
      </c>
      <c r="J76" s="47">
        <v>2</v>
      </c>
      <c r="K76" s="188">
        <v>1.4400000000000002</v>
      </c>
      <c r="L76" s="182">
        <v>0.2016</v>
      </c>
      <c r="M76" s="47">
        <v>32</v>
      </c>
      <c r="N76" s="182">
        <v>6.4512</v>
      </c>
      <c r="O76" s="194">
        <v>70.963200000000001</v>
      </c>
      <c r="P76" s="48"/>
      <c r="Q76" s="88">
        <f t="shared" si="5"/>
        <v>1152.144</v>
      </c>
      <c r="R76" s="657">
        <f t="shared" si="6"/>
        <v>5715</v>
      </c>
      <c r="S76" s="38">
        <v>570.101</v>
      </c>
      <c r="U76" s="4"/>
      <c r="V76" s="82"/>
      <c r="W76" s="82"/>
      <c r="X76" s="4"/>
    </row>
    <row r="77" spans="1:24" ht="20.100000000000001" customHeight="1" thickBot="1" x14ac:dyDescent="0.3">
      <c r="A77" s="876"/>
      <c r="B77" s="12">
        <v>1200</v>
      </c>
      <c r="C77" s="13">
        <v>600</v>
      </c>
      <c r="D77" s="14">
        <v>150</v>
      </c>
      <c r="E77" s="238" t="s">
        <v>339</v>
      </c>
      <c r="F77" s="107">
        <v>74.074074074074076</v>
      </c>
      <c r="G77" s="116">
        <v>10.716735253772292</v>
      </c>
      <c r="H77" s="219" t="s">
        <v>484</v>
      </c>
      <c r="I77" s="592">
        <f>IF(E77="C",ROUNDUP(5500/135/ФасадDDP!O77,0)*ФасадDDP!O77," ")</f>
        <v>41.472000000000001</v>
      </c>
      <c r="J77" s="47">
        <v>2</v>
      </c>
      <c r="K77" s="188">
        <v>1.4400000000000002</v>
      </c>
      <c r="L77" s="182">
        <v>0.216</v>
      </c>
      <c r="M77" s="47">
        <v>32</v>
      </c>
      <c r="N77" s="182">
        <v>6.9119999999999999</v>
      </c>
      <c r="O77" s="194">
        <v>76.031999999999996</v>
      </c>
      <c r="P77" s="48"/>
      <c r="Q77" s="88">
        <f t="shared" si="5"/>
        <v>1234.44</v>
      </c>
      <c r="R77" s="657">
        <f t="shared" si="6"/>
        <v>5715</v>
      </c>
      <c r="S77" s="38">
        <v>610.82249999999999</v>
      </c>
      <c r="U77" s="4"/>
      <c r="V77" s="82"/>
      <c r="X77" s="4"/>
    </row>
    <row r="78" spans="1:24" ht="20.100000000000001" customHeight="1" thickBot="1" x14ac:dyDescent="0.3">
      <c r="A78" s="876"/>
      <c r="B78" s="203">
        <v>1200</v>
      </c>
      <c r="C78" s="204">
        <v>600</v>
      </c>
      <c r="D78" s="209">
        <v>160</v>
      </c>
      <c r="E78" s="238" t="s">
        <v>339</v>
      </c>
      <c r="F78" s="263">
        <v>74.074074074074076</v>
      </c>
      <c r="G78" s="263">
        <v>11.690983913206136</v>
      </c>
      <c r="H78" s="264" t="s">
        <v>575</v>
      </c>
      <c r="I78" s="592">
        <f>IF(E78="C",ROUNDUP(5500/135/ФасадDDP!O78,0)*ФасадDDP!O78," ")</f>
        <v>45.158399999999993</v>
      </c>
      <c r="J78" s="97">
        <v>2</v>
      </c>
      <c r="K78" s="265">
        <v>1.4400000000000002</v>
      </c>
      <c r="L78" s="126">
        <v>0.15840000000000001</v>
      </c>
      <c r="M78" s="97">
        <v>28</v>
      </c>
      <c r="N78" s="126">
        <v>6.4511999999999992</v>
      </c>
      <c r="O78" s="227">
        <v>70.963199999999986</v>
      </c>
      <c r="P78" s="266"/>
      <c r="Q78" s="88">
        <f t="shared" si="5"/>
        <v>905.25600000000009</v>
      </c>
      <c r="R78" s="657">
        <f t="shared" si="6"/>
        <v>5715</v>
      </c>
      <c r="S78" s="104">
        <v>447.93649999999997</v>
      </c>
      <c r="U78" s="4"/>
      <c r="V78" s="82"/>
      <c r="W78" s="82"/>
      <c r="X78" s="4"/>
    </row>
    <row r="79" spans="1:24" ht="20.100000000000001" customHeight="1" thickBot="1" x14ac:dyDescent="0.3">
      <c r="A79" s="876"/>
      <c r="B79" s="203">
        <v>1200</v>
      </c>
      <c r="C79" s="204">
        <v>600</v>
      </c>
      <c r="D79" s="209">
        <v>170</v>
      </c>
      <c r="E79" s="238" t="s">
        <v>339</v>
      </c>
      <c r="F79" s="263"/>
      <c r="G79" s="263">
        <v>0</v>
      </c>
      <c r="H79" s="264" t="s">
        <v>576</v>
      </c>
      <c r="I79" s="592">
        <f>IF(E79="C",ROUNDUP(5500/135/ФасадDDP!O79,0)*ФасадDDP!O79," ")</f>
        <v>41.126400000000004</v>
      </c>
      <c r="J79" s="97">
        <v>2</v>
      </c>
      <c r="K79" s="265">
        <v>1.4400000000000002</v>
      </c>
      <c r="L79" s="126">
        <v>0.17280000000000001</v>
      </c>
      <c r="M79" s="97">
        <v>28</v>
      </c>
      <c r="N79" s="126">
        <v>6.8544</v>
      </c>
      <c r="O79" s="227">
        <v>75.398399999999995</v>
      </c>
      <c r="P79" s="266"/>
      <c r="Q79" s="88">
        <f t="shared" si="5"/>
        <v>987.55200000000002</v>
      </c>
      <c r="R79" s="657">
        <f>R78</f>
        <v>5715</v>
      </c>
      <c r="S79" s="105">
        <v>488.65799999999996</v>
      </c>
      <c r="U79" s="4"/>
      <c r="V79" s="82"/>
      <c r="X79" s="4"/>
    </row>
    <row r="80" spans="1:24" ht="20.100000000000001" customHeight="1" thickBot="1" x14ac:dyDescent="0.3">
      <c r="A80" s="876"/>
      <c r="B80" s="203">
        <v>1200</v>
      </c>
      <c r="C80" s="204">
        <v>600</v>
      </c>
      <c r="D80" s="209">
        <v>180</v>
      </c>
      <c r="E80" s="238" t="s">
        <v>339</v>
      </c>
      <c r="F80" s="263">
        <v>74.074074074074076</v>
      </c>
      <c r="G80" s="263">
        <v>10.991523337202349</v>
      </c>
      <c r="H80" s="264" t="s">
        <v>577</v>
      </c>
      <c r="I80" s="592">
        <f>IF(E80="C",ROUNDUP(5500/135/ФасадDDP!O80,0)*ФасадDDP!O80," ")</f>
        <v>43.5456</v>
      </c>
      <c r="J80" s="97">
        <v>2</v>
      </c>
      <c r="K80" s="265">
        <v>1.4400000000000002</v>
      </c>
      <c r="L80" s="126">
        <v>0.18720000000000001</v>
      </c>
      <c r="M80" s="97">
        <v>24</v>
      </c>
      <c r="N80" s="126">
        <v>6.2207999999999997</v>
      </c>
      <c r="O80" s="227">
        <v>68.428799999999995</v>
      </c>
      <c r="P80" s="266"/>
      <c r="Q80" s="88" t="e">
        <f t="shared" si="5"/>
        <v>#VALUE!</v>
      </c>
      <c r="R80" s="657" t="s">
        <v>528</v>
      </c>
      <c r="S80" s="103">
        <v>529.37950000000001</v>
      </c>
      <c r="U80" s="4"/>
      <c r="V80" s="82"/>
      <c r="X80" s="4"/>
    </row>
    <row r="81" spans="1:25" ht="20.100000000000001" customHeight="1" thickBot="1" x14ac:dyDescent="0.3">
      <c r="A81" s="876"/>
      <c r="B81" s="12">
        <v>1200</v>
      </c>
      <c r="C81" s="13">
        <v>600</v>
      </c>
      <c r="D81" s="14">
        <v>190</v>
      </c>
      <c r="E81" s="238" t="s">
        <v>339</v>
      </c>
      <c r="F81" s="107">
        <v>74.074074074074076</v>
      </c>
      <c r="G81" s="116">
        <v>11.482216343327455</v>
      </c>
      <c r="H81" s="219" t="s">
        <v>578</v>
      </c>
      <c r="I81" s="592">
        <f>IF(E81="C",ROUNDUP(5500/135/ФасадDDP!O81,0)*ФасадDDP!O81," ")</f>
        <v>45.96479999999999</v>
      </c>
      <c r="J81" s="47">
        <v>2</v>
      </c>
      <c r="K81" s="188">
        <v>1.4400000000000002</v>
      </c>
      <c r="L81" s="182">
        <v>0.2016</v>
      </c>
      <c r="M81" s="47">
        <v>24</v>
      </c>
      <c r="N81" s="182">
        <v>6.5663999999999989</v>
      </c>
      <c r="O81" s="194">
        <v>72.230399999999989</v>
      </c>
      <c r="P81" s="48"/>
      <c r="Q81" s="88" t="e">
        <f t="shared" si="5"/>
        <v>#VALUE!</v>
      </c>
      <c r="R81" s="657" t="s">
        <v>528</v>
      </c>
      <c r="S81" s="38">
        <v>570.101</v>
      </c>
      <c r="U81" s="4"/>
      <c r="V81" s="82"/>
      <c r="W81" s="82"/>
      <c r="X81" s="4"/>
    </row>
    <row r="82" spans="1:25" ht="20.100000000000001" customHeight="1" thickBot="1" x14ac:dyDescent="0.3">
      <c r="A82" s="876"/>
      <c r="B82" s="15">
        <v>1200</v>
      </c>
      <c r="C82" s="16">
        <v>600</v>
      </c>
      <c r="D82" s="17">
        <v>200</v>
      </c>
      <c r="E82" s="238" t="s">
        <v>339</v>
      </c>
      <c r="F82" s="108">
        <v>74.074074074074076</v>
      </c>
      <c r="G82" s="444">
        <v>10.716735253772292</v>
      </c>
      <c r="H82" s="442" t="s">
        <v>579</v>
      </c>
      <c r="I82" s="593">
        <f>IF(E82="C",ROUNDUP(5500/135/ФасадDDP!O82,0)*ФасадDDP!O82," ")</f>
        <v>41.471999999999994</v>
      </c>
      <c r="J82" s="49">
        <v>1</v>
      </c>
      <c r="K82" s="456">
        <v>1.4400000000000002</v>
      </c>
      <c r="L82" s="184">
        <v>0.216</v>
      </c>
      <c r="M82" s="49">
        <v>48</v>
      </c>
      <c r="N82" s="184">
        <v>6.911999999999999</v>
      </c>
      <c r="O82" s="457">
        <v>76.031999999999982</v>
      </c>
      <c r="P82" s="50"/>
      <c r="Q82" s="479" t="e">
        <f t="shared" si="5"/>
        <v>#VALUE!</v>
      </c>
      <c r="R82" s="262" t="s">
        <v>528</v>
      </c>
      <c r="S82" s="40">
        <v>610.82249999999999</v>
      </c>
      <c r="U82" s="4"/>
      <c r="V82" s="82"/>
      <c r="X82" s="4"/>
    </row>
    <row r="83" spans="1:25" ht="20.100000000000001" customHeight="1" thickBot="1" x14ac:dyDescent="0.3">
      <c r="A83" s="35" t="s">
        <v>486</v>
      </c>
      <c r="B83" s="252">
        <v>1200</v>
      </c>
      <c r="C83" s="250">
        <v>600</v>
      </c>
      <c r="D83" s="251">
        <v>50</v>
      </c>
      <c r="E83" s="238" t="s">
        <v>339</v>
      </c>
      <c r="F83" s="319"/>
      <c r="G83" s="319">
        <v>0</v>
      </c>
      <c r="H83" s="310" t="s">
        <v>711</v>
      </c>
      <c r="I83" s="594">
        <f>IF(E83="C",ROUNDUP(5500/90/ФасадDDP!O83,0)*ФасадDDP!O83," ")</f>
        <v>62.207999999999998</v>
      </c>
      <c r="J83" s="311">
        <v>6</v>
      </c>
      <c r="K83" s="265">
        <v>3.6</v>
      </c>
      <c r="L83" s="132">
        <v>0.18</v>
      </c>
      <c r="M83" s="320">
        <v>32</v>
      </c>
      <c r="N83" s="132">
        <v>6.9119999999999999</v>
      </c>
      <c r="O83" s="226">
        <v>76.031999999999996</v>
      </c>
      <c r="P83" s="321"/>
      <c r="Q83" s="88" t="e">
        <f>L83*R83</f>
        <v>#VALUE!</v>
      </c>
      <c r="R83" s="656" t="s">
        <v>528</v>
      </c>
      <c r="S83" s="286">
        <v>203.60749999999996</v>
      </c>
      <c r="U83" s="4"/>
      <c r="V83" s="82"/>
      <c r="X83" s="4"/>
    </row>
    <row r="84" spans="1:25" ht="20.100000000000001" customHeight="1" thickBot="1" x14ac:dyDescent="0.3">
      <c r="A84" s="876"/>
      <c r="B84" s="203">
        <v>1200</v>
      </c>
      <c r="C84" s="204">
        <v>600</v>
      </c>
      <c r="D84" s="209">
        <v>60</v>
      </c>
      <c r="E84" s="238" t="s">
        <v>339</v>
      </c>
      <c r="F84" s="263">
        <v>71.428571428571431</v>
      </c>
      <c r="G84" s="263">
        <v>10.333994708994709</v>
      </c>
      <c r="H84" s="264"/>
      <c r="I84" s="594">
        <f>IF(E84="C",ROUNDUP(5500/90/ФасадDDP!O84,0)*ФасадDDP!O84," ")</f>
        <v>62.207999999999991</v>
      </c>
      <c r="J84" s="97">
        <v>4</v>
      </c>
      <c r="K84" s="265">
        <v>2.8800000000000003</v>
      </c>
      <c r="L84" s="126">
        <v>0.17280000000000001</v>
      </c>
      <c r="M84" s="97">
        <v>40</v>
      </c>
      <c r="N84" s="126">
        <v>6.9120000000000008</v>
      </c>
      <c r="O84" s="227">
        <v>76.032000000000011</v>
      </c>
      <c r="P84" s="266"/>
      <c r="Q84" s="88" t="e">
        <f t="shared" ref="Q84:Q93" si="7">L84*R84</f>
        <v>#VALUE!</v>
      </c>
      <c r="R84" s="657" t="s">
        <v>528</v>
      </c>
      <c r="S84" s="276">
        <v>244.32899999999998</v>
      </c>
      <c r="U84" s="4"/>
      <c r="V84" s="82"/>
      <c r="X84" s="4"/>
    </row>
    <row r="85" spans="1:25" ht="20.100000000000001" customHeight="1" thickBot="1" x14ac:dyDescent="0.3">
      <c r="A85" s="876"/>
      <c r="B85" s="203">
        <v>1200</v>
      </c>
      <c r="C85" s="204">
        <v>600</v>
      </c>
      <c r="D85" s="209">
        <v>70</v>
      </c>
      <c r="E85" s="238" t="s">
        <v>339</v>
      </c>
      <c r="F85" s="263">
        <v>71.428571428571431</v>
      </c>
      <c r="G85" s="263">
        <v>10.736617879475023</v>
      </c>
      <c r="H85" s="264"/>
      <c r="I85" s="594">
        <f>IF(E85="C",ROUNDUP(5500/90/ФасадDDP!O85,0)*ФасадDDP!O85," ")</f>
        <v>66.528000000000006</v>
      </c>
      <c r="J85" s="97">
        <v>3</v>
      </c>
      <c r="K85" s="265">
        <v>2.16</v>
      </c>
      <c r="L85" s="126">
        <v>0.1512</v>
      </c>
      <c r="M85" s="97">
        <v>44</v>
      </c>
      <c r="N85" s="126">
        <v>6.6528</v>
      </c>
      <c r="O85" s="227">
        <v>73.180800000000005</v>
      </c>
      <c r="P85" s="266"/>
      <c r="Q85" s="88" t="e">
        <f t="shared" si="7"/>
        <v>#VALUE!</v>
      </c>
      <c r="R85" s="657" t="s">
        <v>528</v>
      </c>
      <c r="S85" s="267">
        <v>285.0505</v>
      </c>
      <c r="U85" s="4"/>
      <c r="V85" s="82"/>
      <c r="X85" s="4"/>
    </row>
    <row r="86" spans="1:25" ht="20.100000000000001" customHeight="1" thickBot="1" x14ac:dyDescent="0.3">
      <c r="A86" s="876"/>
      <c r="B86" s="203">
        <v>1200</v>
      </c>
      <c r="C86" s="204">
        <v>600</v>
      </c>
      <c r="D86" s="209">
        <v>80</v>
      </c>
      <c r="E86" s="238" t="s">
        <v>339</v>
      </c>
      <c r="F86" s="263"/>
      <c r="G86" s="263">
        <v>0</v>
      </c>
      <c r="H86" s="264"/>
      <c r="I86" s="594">
        <f>IF(E86="C",ROUNDUP(5500/90/ФасадDDP!O86,0)*ФасадDDP!O86," ")</f>
        <v>62.208000000000006</v>
      </c>
      <c r="J86" s="274">
        <v>3</v>
      </c>
      <c r="K86" s="265">
        <v>2.16</v>
      </c>
      <c r="L86" s="126">
        <v>0.17280000000000001</v>
      </c>
      <c r="M86" s="97">
        <v>40</v>
      </c>
      <c r="N86" s="126">
        <v>6.9120000000000008</v>
      </c>
      <c r="O86" s="227">
        <v>76.032000000000011</v>
      </c>
      <c r="P86" s="266"/>
      <c r="Q86" s="88" t="e">
        <f t="shared" si="7"/>
        <v>#VALUE!</v>
      </c>
      <c r="R86" s="657" t="s">
        <v>528</v>
      </c>
      <c r="S86" s="38">
        <v>325.77199999999999</v>
      </c>
      <c r="U86" s="4"/>
      <c r="V86" s="82"/>
      <c r="X86" s="4"/>
    </row>
    <row r="87" spans="1:25" ht="20.100000000000001" customHeight="1" thickBot="1" x14ac:dyDescent="0.3">
      <c r="A87" s="876"/>
      <c r="B87" s="203">
        <v>1200</v>
      </c>
      <c r="C87" s="204">
        <v>600</v>
      </c>
      <c r="D87" s="209">
        <v>90</v>
      </c>
      <c r="E87" s="238" t="s">
        <v>339</v>
      </c>
      <c r="F87" s="263">
        <v>71.428571428571431</v>
      </c>
      <c r="G87" s="263">
        <v>11.482216343327455</v>
      </c>
      <c r="H87" s="264"/>
      <c r="I87" s="594">
        <f>IF(E87="C",ROUNDUP(5500/90/ФасадDDP!O87,0)*ФасадDDP!O87," ")</f>
        <v>62.208000000000006</v>
      </c>
      <c r="J87" s="274">
        <v>3</v>
      </c>
      <c r="K87" s="322">
        <v>2.16</v>
      </c>
      <c r="L87" s="126">
        <v>0.19439999999999999</v>
      </c>
      <c r="M87" s="97">
        <v>32</v>
      </c>
      <c r="N87" s="126">
        <v>6.2207999999999997</v>
      </c>
      <c r="O87" s="227">
        <v>68.428799999999995</v>
      </c>
      <c r="P87" s="266"/>
      <c r="Q87" s="88" t="e">
        <f t="shared" si="7"/>
        <v>#VALUE!</v>
      </c>
      <c r="R87" s="657" t="s">
        <v>528</v>
      </c>
      <c r="S87" s="104">
        <v>366.49349999999993</v>
      </c>
      <c r="U87" s="4"/>
      <c r="V87" s="82"/>
      <c r="W87" s="82"/>
      <c r="X87" s="4"/>
    </row>
    <row r="88" spans="1:25" ht="19.5" customHeight="1" thickBot="1" x14ac:dyDescent="0.3">
      <c r="A88" s="876"/>
      <c r="B88" s="203">
        <v>1200</v>
      </c>
      <c r="C88" s="204">
        <v>600</v>
      </c>
      <c r="D88" s="209">
        <v>100</v>
      </c>
      <c r="E88" s="238" t="s">
        <v>339</v>
      </c>
      <c r="F88" s="263"/>
      <c r="G88" s="263">
        <v>0</v>
      </c>
      <c r="H88" s="264"/>
      <c r="I88" s="594">
        <f>IF(E88="C",ROUNDUP(5500/90/ФасадDDP!O88,0)*ФасадDDP!O88," ")</f>
        <v>62.207999999999998</v>
      </c>
      <c r="J88" s="97">
        <v>3</v>
      </c>
      <c r="K88" s="265">
        <v>2.16</v>
      </c>
      <c r="L88" s="126">
        <v>0.216</v>
      </c>
      <c r="M88" s="97">
        <v>32</v>
      </c>
      <c r="N88" s="126">
        <v>6.9119999999999999</v>
      </c>
      <c r="O88" s="227">
        <v>76.031999999999996</v>
      </c>
      <c r="P88" s="266"/>
      <c r="Q88" s="88" t="e">
        <f t="shared" si="7"/>
        <v>#VALUE!</v>
      </c>
      <c r="R88" s="657" t="s">
        <v>528</v>
      </c>
      <c r="S88" s="267">
        <v>407.21499999999992</v>
      </c>
      <c r="U88" s="4"/>
      <c r="V88" s="82"/>
      <c r="X88" s="4"/>
    </row>
    <row r="89" spans="1:25" ht="20.100000000000001" customHeight="1" thickBot="1" x14ac:dyDescent="0.3">
      <c r="A89" s="876"/>
      <c r="B89" s="203">
        <v>1200</v>
      </c>
      <c r="C89" s="204">
        <v>600</v>
      </c>
      <c r="D89" s="209">
        <v>110</v>
      </c>
      <c r="E89" s="238" t="s">
        <v>339</v>
      </c>
      <c r="F89" s="263">
        <v>74.074074074074076</v>
      </c>
      <c r="G89" s="263">
        <v>11.690983913206136</v>
      </c>
      <c r="H89" s="264"/>
      <c r="I89" s="594">
        <f>IF(E89="C",ROUNDUP(5500/90/ФасадDDP!O89,0)*ФасадDDP!O89," ")</f>
        <v>63.36</v>
      </c>
      <c r="J89" s="97">
        <v>2</v>
      </c>
      <c r="K89" s="265">
        <v>1.4400000000000002</v>
      </c>
      <c r="L89" s="126">
        <v>0.15840000000000001</v>
      </c>
      <c r="M89" s="97">
        <v>40</v>
      </c>
      <c r="N89" s="126">
        <v>6.3360000000000003</v>
      </c>
      <c r="O89" s="227">
        <v>69.695999999999998</v>
      </c>
      <c r="P89" s="266"/>
      <c r="Q89" s="88" t="e">
        <f t="shared" si="7"/>
        <v>#VALUE!</v>
      </c>
      <c r="R89" s="657" t="s">
        <v>528</v>
      </c>
      <c r="S89" s="104">
        <v>447.93649999999997</v>
      </c>
      <c r="U89" s="4"/>
      <c r="V89" s="82"/>
      <c r="W89" s="82"/>
      <c r="X89" s="4"/>
    </row>
    <row r="90" spans="1:25" ht="20.100000000000001" customHeight="1" thickBot="1" x14ac:dyDescent="0.3">
      <c r="A90" s="876"/>
      <c r="B90" s="203">
        <v>1200</v>
      </c>
      <c r="C90" s="204">
        <v>600</v>
      </c>
      <c r="D90" s="209">
        <v>120</v>
      </c>
      <c r="E90" s="238" t="s">
        <v>339</v>
      </c>
      <c r="F90" s="263"/>
      <c r="G90" s="263">
        <v>0</v>
      </c>
      <c r="H90" s="264"/>
      <c r="I90" s="594">
        <f>IF(E90="C",ROUNDUP(5500/90/ФасадDDP!O90,0)*ФасадDDP!O90," ")</f>
        <v>62.207999999999991</v>
      </c>
      <c r="J90" s="97">
        <v>2</v>
      </c>
      <c r="K90" s="265">
        <v>1.4400000000000002</v>
      </c>
      <c r="L90" s="126">
        <v>0.17280000000000001</v>
      </c>
      <c r="M90" s="97">
        <v>40</v>
      </c>
      <c r="N90" s="126">
        <v>6.9120000000000008</v>
      </c>
      <c r="O90" s="227">
        <v>76.032000000000011</v>
      </c>
      <c r="P90" s="266"/>
      <c r="Q90" s="88" t="e">
        <f t="shared" si="7"/>
        <v>#VALUE!</v>
      </c>
      <c r="R90" s="657" t="s">
        <v>528</v>
      </c>
      <c r="S90" s="105">
        <v>488.65799999999996</v>
      </c>
      <c r="U90" s="4"/>
      <c r="V90" s="82"/>
      <c r="X90" s="4"/>
    </row>
    <row r="91" spans="1:25" ht="20.100000000000001" customHeight="1" thickBot="1" x14ac:dyDescent="0.3">
      <c r="A91" s="876"/>
      <c r="B91" s="203">
        <v>1200</v>
      </c>
      <c r="C91" s="204">
        <v>600</v>
      </c>
      <c r="D91" s="209">
        <v>130</v>
      </c>
      <c r="E91" s="238" t="s">
        <v>339</v>
      </c>
      <c r="F91" s="263">
        <v>74.074074074074076</v>
      </c>
      <c r="G91" s="263">
        <v>10.991523337202349</v>
      </c>
      <c r="H91" s="264"/>
      <c r="I91" s="594">
        <f>IF(E91="C",ROUNDUP(5500/90/ФасадDDP!O91,0)*ФасадDDP!O91," ")</f>
        <v>67.391999999999996</v>
      </c>
      <c r="J91" s="97">
        <v>2</v>
      </c>
      <c r="K91" s="265">
        <v>1.4400000000000002</v>
      </c>
      <c r="L91" s="126">
        <v>0.18720000000000001</v>
      </c>
      <c r="M91" s="97">
        <v>36</v>
      </c>
      <c r="N91" s="126">
        <v>6.7392000000000003</v>
      </c>
      <c r="O91" s="227">
        <v>74.131200000000007</v>
      </c>
      <c r="P91" s="266"/>
      <c r="Q91" s="88" t="e">
        <f t="shared" si="7"/>
        <v>#VALUE!</v>
      </c>
      <c r="R91" s="657" t="s">
        <v>528</v>
      </c>
      <c r="S91" s="103">
        <v>529.37950000000001</v>
      </c>
      <c r="U91" s="4"/>
      <c r="V91" s="82"/>
      <c r="X91" s="4"/>
    </row>
    <row r="92" spans="1:25" ht="20.100000000000001" customHeight="1" thickBot="1" x14ac:dyDescent="0.3">
      <c r="A92" s="876"/>
      <c r="B92" s="12">
        <v>1200</v>
      </c>
      <c r="C92" s="13">
        <v>600</v>
      </c>
      <c r="D92" s="14">
        <v>140</v>
      </c>
      <c r="E92" s="238" t="s">
        <v>339</v>
      </c>
      <c r="F92" s="107">
        <v>74.074074074074076</v>
      </c>
      <c r="G92" s="116">
        <v>11.482216343327455</v>
      </c>
      <c r="H92" s="219"/>
      <c r="I92" s="594">
        <f>IF(E92="C",ROUNDUP(5500/90/ФасадDDP!O92,0)*ФасадDDP!O92," ")</f>
        <v>64.512</v>
      </c>
      <c r="J92" s="47">
        <v>2</v>
      </c>
      <c r="K92" s="188">
        <v>1.4400000000000002</v>
      </c>
      <c r="L92" s="182">
        <v>0.2016</v>
      </c>
      <c r="M92" s="47">
        <v>32</v>
      </c>
      <c r="N92" s="182">
        <v>6.4512</v>
      </c>
      <c r="O92" s="194">
        <v>70.963200000000001</v>
      </c>
      <c r="P92" s="48"/>
      <c r="Q92" s="88" t="e">
        <f t="shared" si="7"/>
        <v>#VALUE!</v>
      </c>
      <c r="R92" s="657" t="s">
        <v>528</v>
      </c>
      <c r="S92" s="38">
        <v>570.101</v>
      </c>
      <c r="U92" s="4"/>
      <c r="V92" s="82"/>
      <c r="W92" s="82"/>
      <c r="X92" s="4"/>
    </row>
    <row r="93" spans="1:25" ht="20.100000000000001" customHeight="1" thickBot="1" x14ac:dyDescent="0.3">
      <c r="A93" s="876"/>
      <c r="B93" s="15">
        <v>1200</v>
      </c>
      <c r="C93" s="16">
        <v>600</v>
      </c>
      <c r="D93" s="17">
        <v>150</v>
      </c>
      <c r="E93" s="238" t="s">
        <v>339</v>
      </c>
      <c r="F93" s="108">
        <v>74.074074074074076</v>
      </c>
      <c r="G93" s="444">
        <v>10.716735253772292</v>
      </c>
      <c r="H93" s="442"/>
      <c r="I93" s="593">
        <f>IF(E93="C",ROUNDUP(5500/90/ФасадDDP!O93,0)*ФасадDDP!O93," ")</f>
        <v>62.207999999999998</v>
      </c>
      <c r="J93" s="49">
        <v>2</v>
      </c>
      <c r="K93" s="456">
        <v>1.4400000000000002</v>
      </c>
      <c r="L93" s="184">
        <v>0.216</v>
      </c>
      <c r="M93" s="49">
        <v>32</v>
      </c>
      <c r="N93" s="184">
        <v>6.9119999999999999</v>
      </c>
      <c r="O93" s="457">
        <v>76.031999999999996</v>
      </c>
      <c r="P93" s="50"/>
      <c r="Q93" s="479" t="e">
        <f t="shared" si="7"/>
        <v>#VALUE!</v>
      </c>
      <c r="R93" s="262" t="s">
        <v>528</v>
      </c>
      <c r="S93" s="40">
        <v>610.82249999999999</v>
      </c>
      <c r="U93" s="4"/>
      <c r="V93" s="82"/>
      <c r="X93" s="4"/>
    </row>
    <row r="94" spans="1:25" ht="20.100000000000001" customHeight="1" x14ac:dyDescent="0.25">
      <c r="A94" s="8"/>
      <c r="B94" s="20"/>
      <c r="I94" s="138"/>
      <c r="X94" s="4"/>
    </row>
    <row r="95" spans="1:25" ht="18.75" customHeight="1" x14ac:dyDescent="0.25">
      <c r="A95" s="1" t="s">
        <v>7</v>
      </c>
      <c r="E95" s="2"/>
      <c r="F95" s="2"/>
      <c r="G95" s="2"/>
      <c r="H95" s="2"/>
      <c r="I95" s="134"/>
      <c r="O95" s="1275" t="s">
        <v>21</v>
      </c>
      <c r="P95" s="1275"/>
      <c r="Q95" s="1275"/>
      <c r="R95" s="1275"/>
      <c r="S95" s="1275"/>
      <c r="U95" s="2"/>
      <c r="V95" s="2"/>
      <c r="W95" s="82"/>
      <c r="X95" s="2"/>
      <c r="Y95" s="2"/>
    </row>
    <row r="96" spans="1:25" s="32" customFormat="1" ht="20.100000000000001" customHeight="1" x14ac:dyDescent="0.25">
      <c r="A96" s="471" t="s">
        <v>342</v>
      </c>
      <c r="J96" s="33"/>
      <c r="L96" s="34"/>
      <c r="M96" s="33"/>
      <c r="N96" s="59"/>
      <c r="O96" s="1244" t="s">
        <v>40</v>
      </c>
      <c r="P96" s="1244"/>
      <c r="Q96" s="1244"/>
      <c r="R96" s="1244"/>
      <c r="S96" s="1244"/>
      <c r="W96" s="84"/>
    </row>
    <row r="97" spans="1:25" ht="20.100000000000001" customHeight="1" x14ac:dyDescent="0.25">
      <c r="A97" s="26" t="s">
        <v>23</v>
      </c>
      <c r="E97" s="2"/>
      <c r="F97" s="2"/>
      <c r="G97" s="2"/>
      <c r="H97" s="2"/>
      <c r="I97" s="2"/>
      <c r="O97" s="1244" t="s">
        <v>39</v>
      </c>
      <c r="P97" s="1244"/>
      <c r="Q97" s="1244"/>
      <c r="R97" s="1244"/>
      <c r="S97" s="1244"/>
      <c r="U97" s="2"/>
      <c r="V97" s="2"/>
      <c r="W97" s="82"/>
      <c r="X97" s="2"/>
      <c r="Y97" s="2"/>
    </row>
    <row r="98" spans="1:25" ht="20.100000000000001" customHeight="1" x14ac:dyDescent="0.25">
      <c r="A98" s="26" t="s">
        <v>24</v>
      </c>
      <c r="E98" s="2"/>
      <c r="F98" s="2"/>
      <c r="G98" s="2"/>
      <c r="H98" s="2"/>
      <c r="I98" s="2"/>
      <c r="O98" s="1245" t="s">
        <v>37</v>
      </c>
      <c r="P98" s="1245"/>
      <c r="Q98" s="1245"/>
      <c r="R98" s="1245"/>
      <c r="S98" s="1245"/>
      <c r="U98" s="2"/>
      <c r="V98" s="2"/>
      <c r="W98" s="82"/>
      <c r="X98" s="2"/>
      <c r="Y98" s="2"/>
    </row>
    <row r="99" spans="1:25" ht="20.100000000000001" customHeight="1" x14ac:dyDescent="0.25">
      <c r="A99" s="26" t="s">
        <v>52</v>
      </c>
      <c r="E99" s="2"/>
      <c r="F99" s="2"/>
      <c r="G99" s="2"/>
      <c r="H99" s="2"/>
      <c r="I99" s="2"/>
      <c r="Q99" s="1245" t="s">
        <v>38</v>
      </c>
      <c r="R99" s="1245"/>
      <c r="S99" s="1245"/>
      <c r="T99" s="74"/>
      <c r="U99" s="74"/>
      <c r="V99" s="2"/>
      <c r="W99" s="82"/>
      <c r="X99" s="2"/>
      <c r="Y99" s="2"/>
    </row>
    <row r="100" spans="1:25" ht="20.100000000000001" customHeight="1" x14ac:dyDescent="0.25">
      <c r="A100" s="30" t="s">
        <v>54</v>
      </c>
      <c r="E100" s="2"/>
      <c r="F100" s="2"/>
      <c r="G100" s="4"/>
      <c r="H100" s="2"/>
      <c r="I100" s="5"/>
      <c r="K100" s="56"/>
      <c r="U100" s="2"/>
      <c r="V100" s="2"/>
      <c r="W100" s="82"/>
      <c r="X100" s="2"/>
      <c r="Y100" s="2"/>
    </row>
    <row r="101" spans="1:25" ht="20.100000000000001" customHeight="1" x14ac:dyDescent="0.25">
      <c r="A101" s="30" t="s">
        <v>240</v>
      </c>
      <c r="E101" s="2"/>
      <c r="F101" s="2"/>
      <c r="G101" s="4"/>
      <c r="H101" s="2"/>
      <c r="I101" s="5"/>
      <c r="K101" s="56"/>
      <c r="U101" s="2"/>
      <c r="V101" s="2"/>
      <c r="W101" s="82"/>
      <c r="X101" s="2"/>
      <c r="Y101" s="2"/>
    </row>
    <row r="102" spans="1:25" ht="20.100000000000001" customHeight="1" x14ac:dyDescent="0.25">
      <c r="A102" s="30" t="s">
        <v>612</v>
      </c>
      <c r="E102" s="2"/>
      <c r="F102" s="2"/>
      <c r="G102" s="4"/>
      <c r="H102" s="2"/>
      <c r="I102" s="5"/>
      <c r="K102" s="56"/>
      <c r="U102" s="2"/>
      <c r="V102" s="2"/>
      <c r="W102" s="82"/>
      <c r="X102" s="2"/>
      <c r="Y102" s="2"/>
    </row>
    <row r="103" spans="1:25" ht="20.100000000000001" customHeight="1" x14ac:dyDescent="0.25">
      <c r="A103" s="30"/>
      <c r="E103" s="2"/>
      <c r="F103" s="4"/>
      <c r="G103" s="2"/>
      <c r="H103" s="2"/>
      <c r="I103" s="5"/>
      <c r="K103" s="56"/>
      <c r="U103" s="2"/>
      <c r="V103" s="2"/>
      <c r="W103" s="82"/>
      <c r="X103" s="2"/>
      <c r="Y103" s="2"/>
    </row>
    <row r="104" spans="1:25" ht="20.100000000000001" customHeight="1" x14ac:dyDescent="0.25">
      <c r="A104" s="30"/>
      <c r="E104" s="2"/>
      <c r="F104" s="4"/>
      <c r="G104" s="2"/>
      <c r="H104" s="2"/>
      <c r="I104" s="5"/>
      <c r="K104" s="56"/>
      <c r="U104" s="2"/>
      <c r="V104" s="2"/>
      <c r="W104" s="82"/>
      <c r="X104" s="2"/>
      <c r="Y104" s="2"/>
    </row>
    <row r="105" spans="1:25" ht="20.100000000000001" customHeight="1" x14ac:dyDescent="0.25">
      <c r="A105" s="31"/>
      <c r="E105" s="2"/>
      <c r="F105" s="2"/>
      <c r="G105" s="2"/>
      <c r="H105" s="2"/>
      <c r="I105" s="2"/>
      <c r="U105" s="2"/>
      <c r="V105" s="2"/>
      <c r="W105" s="82"/>
      <c r="X105" s="2"/>
      <c r="Y105" s="2"/>
    </row>
    <row r="106" spans="1:25" ht="20.100000000000001" customHeight="1" x14ac:dyDescent="0.25">
      <c r="E106" s="2"/>
      <c r="F106" s="2"/>
      <c r="G106" s="2"/>
      <c r="H106" s="2"/>
      <c r="I106" s="2"/>
      <c r="U106" s="2"/>
      <c r="V106" s="2"/>
      <c r="W106" s="82"/>
      <c r="X106" s="2"/>
      <c r="Y106" s="2"/>
    </row>
    <row r="107" spans="1:25" ht="19.5" customHeight="1" x14ac:dyDescent="0.25">
      <c r="A107" s="2"/>
      <c r="E107" s="2"/>
      <c r="F107" s="2"/>
      <c r="G107" s="2"/>
      <c r="H107" s="2"/>
      <c r="I107" s="2"/>
      <c r="U107" s="2"/>
      <c r="V107" s="2"/>
      <c r="W107" s="82"/>
      <c r="X107" s="2"/>
      <c r="Y107" s="2"/>
    </row>
    <row r="108" spans="1:25" ht="20.100000000000001" customHeight="1" x14ac:dyDescent="0.25">
      <c r="A108" s="2"/>
      <c r="E108" s="2"/>
      <c r="F108" s="2"/>
      <c r="G108" s="2"/>
      <c r="H108" s="2"/>
      <c r="I108" s="2"/>
      <c r="U108" s="2"/>
      <c r="V108" s="2"/>
      <c r="W108" s="82"/>
      <c r="X108" s="2"/>
      <c r="Y108" s="2"/>
    </row>
    <row r="109" spans="1:25" ht="20.100000000000001" customHeight="1" x14ac:dyDescent="0.25">
      <c r="A109" s="2"/>
      <c r="C109" s="19"/>
      <c r="D109" s="20"/>
      <c r="E109" s="20"/>
      <c r="F109" s="20"/>
      <c r="G109" s="20"/>
      <c r="H109" s="20"/>
      <c r="I109" s="20"/>
      <c r="J109" s="21"/>
      <c r="K109" s="20"/>
      <c r="L109" s="22"/>
      <c r="M109" s="69"/>
      <c r="N109" s="60"/>
      <c r="O109" s="20"/>
      <c r="P109" s="22"/>
      <c r="Q109" s="22"/>
      <c r="R109" s="22"/>
      <c r="S109" s="22"/>
      <c r="U109" s="2"/>
      <c r="V109" s="2"/>
      <c r="W109" s="82"/>
      <c r="X109" s="2"/>
      <c r="Y109" s="2"/>
    </row>
    <row r="110" spans="1:25" ht="20.100000000000001" customHeight="1" x14ac:dyDescent="0.25">
      <c r="C110" s="23"/>
      <c r="D110" s="20"/>
      <c r="E110" s="20"/>
      <c r="F110" s="20"/>
      <c r="G110" s="20"/>
      <c r="H110" s="20"/>
      <c r="I110" s="20"/>
      <c r="J110" s="21"/>
      <c r="K110" s="20"/>
      <c r="L110" s="24"/>
      <c r="M110" s="70"/>
      <c r="N110" s="60"/>
      <c r="O110" s="20"/>
      <c r="P110" s="24"/>
      <c r="Q110" s="24"/>
      <c r="R110" s="24"/>
      <c r="S110" s="24"/>
      <c r="U110" s="2"/>
      <c r="V110" s="2"/>
      <c r="W110" s="82"/>
      <c r="X110" s="2"/>
      <c r="Y110" s="2"/>
    </row>
    <row r="111" spans="1:25" ht="20.100000000000001" customHeight="1" x14ac:dyDescent="0.25">
      <c r="C111" s="23"/>
      <c r="D111" s="20"/>
      <c r="E111" s="20"/>
      <c r="F111" s="20"/>
      <c r="G111" s="20"/>
      <c r="H111" s="20"/>
      <c r="I111" s="20"/>
      <c r="J111" s="21"/>
      <c r="K111" s="20"/>
      <c r="L111" s="24"/>
      <c r="M111" s="70"/>
      <c r="N111" s="60"/>
      <c r="O111" s="20"/>
      <c r="P111" s="24"/>
      <c r="Q111" s="24"/>
      <c r="R111" s="24"/>
      <c r="S111" s="24"/>
      <c r="U111" s="2"/>
      <c r="V111" s="2"/>
      <c r="W111" s="82"/>
      <c r="X111" s="2"/>
      <c r="Y111" s="2"/>
    </row>
    <row r="113" spans="2:2" x14ac:dyDescent="0.25">
      <c r="B113" s="25"/>
    </row>
  </sheetData>
  <mergeCells count="22">
    <mergeCell ref="A4:S4"/>
    <mergeCell ref="A6:A7"/>
    <mergeCell ref="B6:B7"/>
    <mergeCell ref="C6:C7"/>
    <mergeCell ref="D6:D7"/>
    <mergeCell ref="E6:E7"/>
    <mergeCell ref="F6:F7"/>
    <mergeCell ref="H6:H7"/>
    <mergeCell ref="I6:I7"/>
    <mergeCell ref="J6:L6"/>
    <mergeCell ref="Q99:S99"/>
    <mergeCell ref="M6:N6"/>
    <mergeCell ref="O6:P6"/>
    <mergeCell ref="Q6:S6"/>
    <mergeCell ref="A9:A23"/>
    <mergeCell ref="A25:A39"/>
    <mergeCell ref="A41:A55"/>
    <mergeCell ref="A57:A66"/>
    <mergeCell ref="O95:S95"/>
    <mergeCell ref="O96:S96"/>
    <mergeCell ref="O97:S97"/>
    <mergeCell ref="O98:S98"/>
  </mergeCells>
  <hyperlinks>
    <hyperlink ref="O98" r:id="rId1"/>
    <hyperlink ref="Q99" r:id="rId2"/>
  </hyperlinks>
  <printOptions horizontalCentered="1"/>
  <pageMargins left="0.19685039370078741" right="0.19685039370078741" top="0.39370078740157483" bottom="0" header="0" footer="0"/>
  <pageSetup paperSize="9" scale="35" orientation="portrait" verticalDpi="1" r:id="rId3"/>
  <headerFooter alignWithMargins="0"/>
  <drawing r:id="rId4"/>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3">
    <tabColor rgb="FFFF0000"/>
  </sheetPr>
  <dimension ref="A1:AB113"/>
  <sheetViews>
    <sheetView showGridLines="0" view="pageBreakPreview" zoomScale="75" zoomScaleNormal="100" zoomScaleSheetLayoutView="75" workbookViewId="0">
      <pane xSplit="1" ySplit="7" topLeftCell="O8" activePane="bottomRight" state="frozen"/>
      <selection sqref="A1:IV65536"/>
      <selection pane="topRight" sqref="A1:IV65536"/>
      <selection pane="bottomLeft" sqref="A1:IV65536"/>
      <selection pane="bottomRight" activeCell="W1" sqref="W1:Y1048576"/>
    </sheetView>
  </sheetViews>
  <sheetFormatPr defaultColWidth="11.42578125" defaultRowHeight="18" x14ac:dyDescent="0.25"/>
  <cols>
    <col min="1" max="1" width="38.7109375" style="3" customWidth="1"/>
    <col min="2" max="4" width="9.7109375" style="2" customWidth="1"/>
    <col min="5" max="5" width="6.140625" style="71" customWidth="1"/>
    <col min="6" max="7" width="11.140625" style="71" hidden="1" customWidth="1"/>
    <col min="8" max="8" width="18.140625" style="71" customWidth="1"/>
    <col min="9" max="9" width="11.140625" style="71" customWidth="1"/>
    <col min="10" max="10" width="9.28515625" style="4" customWidth="1"/>
    <col min="11" max="11" width="11.5703125" style="2" customWidth="1"/>
    <col min="12" max="12" width="11.5703125" style="5" customWidth="1"/>
    <col min="13" max="13" width="11.5703125" style="4" customWidth="1"/>
    <col min="14" max="14" width="13.85546875" style="56" customWidth="1"/>
    <col min="15" max="15" width="11.5703125" style="2" customWidth="1"/>
    <col min="16" max="16" width="11.5703125" style="5" customWidth="1"/>
    <col min="17" max="17" width="15.140625" style="2" customWidth="1"/>
    <col min="18" max="18" width="11.85546875" style="2" customWidth="1"/>
    <col min="19" max="19" width="14" style="2" customWidth="1"/>
    <col min="20" max="20" width="15.85546875" style="745" customWidth="1"/>
    <col min="21" max="21" width="15.85546875" style="953" customWidth="1"/>
    <col min="22" max="22" width="30.140625" style="745" customWidth="1"/>
    <col min="23" max="23" width="17.140625" style="2" bestFit="1" customWidth="1"/>
    <col min="24" max="24" width="9.140625" customWidth="1"/>
    <col min="25" max="25" width="10.28515625" customWidth="1"/>
    <col min="26" max="26" width="9.42578125" style="85" customWidth="1"/>
    <col min="27" max="28" width="9.140625" customWidth="1"/>
    <col min="29" max="16384" width="11.42578125" style="2"/>
  </cols>
  <sheetData>
    <row r="1" spans="1:28" ht="26.25" x14ac:dyDescent="0.4">
      <c r="A1" s="75" t="s">
        <v>19</v>
      </c>
      <c r="V1" s="953" t="s">
        <v>413</v>
      </c>
    </row>
    <row r="2" spans="1:28" s="27" customFormat="1" ht="26.25" x14ac:dyDescent="0.4">
      <c r="A2" s="75" t="s">
        <v>20</v>
      </c>
      <c r="E2" s="72"/>
      <c r="F2" s="72"/>
      <c r="G2" s="72"/>
      <c r="H2" s="72"/>
      <c r="I2" s="72"/>
      <c r="J2" s="28"/>
      <c r="L2" s="29"/>
      <c r="M2" s="28"/>
      <c r="N2" s="57"/>
      <c r="P2" s="29"/>
      <c r="T2" s="1014"/>
      <c r="U2" s="1014" t="s">
        <v>415</v>
      </c>
      <c r="V2" s="1093">
        <f>'ЛАЙТ Рязань'!$V$2</f>
        <v>4</v>
      </c>
      <c r="Z2" s="83"/>
    </row>
    <row r="3" spans="1:28" s="27" customFormat="1" ht="60" customHeight="1" x14ac:dyDescent="0.4">
      <c r="A3" s="2" t="s">
        <v>53</v>
      </c>
      <c r="E3" s="72"/>
      <c r="F3" s="72"/>
      <c r="G3" s="72"/>
      <c r="H3" s="72"/>
      <c r="I3" s="72"/>
      <c r="J3" s="28"/>
      <c r="L3" s="29"/>
      <c r="M3" s="28"/>
      <c r="N3" s="57"/>
      <c r="P3" s="29"/>
      <c r="T3" s="1014"/>
      <c r="U3" s="1014" t="s">
        <v>416</v>
      </c>
      <c r="V3" s="1094">
        <f>'ЛАЙТ Рязань'!V3</f>
        <v>4</v>
      </c>
      <c r="Z3" s="83"/>
    </row>
    <row r="4" spans="1:28" x14ac:dyDescent="0.25">
      <c r="A4" s="1248" t="str">
        <f>'ЛАЙТ Рязань'!A4</f>
        <v>03.03.2011г.</v>
      </c>
      <c r="B4" s="1249"/>
      <c r="C4" s="1249"/>
      <c r="D4" s="1249"/>
      <c r="E4" s="1249"/>
      <c r="F4" s="1249"/>
      <c r="G4" s="1249"/>
      <c r="H4" s="1249"/>
      <c r="I4" s="1249"/>
      <c r="J4" s="1249"/>
      <c r="K4" s="1249"/>
      <c r="L4" s="1249"/>
      <c r="M4" s="1249"/>
      <c r="N4" s="1249"/>
      <c r="O4" s="1249"/>
      <c r="P4" s="1249"/>
      <c r="Q4" s="1249"/>
      <c r="R4" s="1249"/>
      <c r="S4" s="1249"/>
      <c r="T4" s="1095"/>
      <c r="U4" s="1096"/>
      <c r="W4" s="7"/>
    </row>
    <row r="5" spans="1:28" ht="18.75" thickBot="1" x14ac:dyDescent="0.3">
      <c r="A5" s="6"/>
      <c r="B5" s="7"/>
      <c r="C5" s="7"/>
      <c r="D5" s="7"/>
      <c r="E5" s="73"/>
      <c r="F5" s="73"/>
      <c r="G5" s="73"/>
      <c r="H5" s="73"/>
      <c r="I5" s="73"/>
      <c r="J5" s="7"/>
      <c r="K5" s="7"/>
      <c r="L5" s="7"/>
      <c r="M5" s="67"/>
      <c r="N5" s="58"/>
      <c r="O5" s="7"/>
      <c r="P5" s="7"/>
      <c r="Q5" s="1115">
        <f>'ЛАЙТ Рязань'!$Q$5</f>
        <v>67</v>
      </c>
      <c r="R5" s="1018">
        <f>INDEX('Доставка по областям'!$C$2:$D$90,'ЛАЙТ Рязань'!$Q$5,1)</f>
        <v>40</v>
      </c>
      <c r="S5" s="1018">
        <f>INDEX('Доставка по областям'!$C$2:$D$90,'ЛАЙТ Рязань'!$Q$5,2)</f>
        <v>64</v>
      </c>
      <c r="T5" s="1095"/>
      <c r="U5" s="1098" t="s">
        <v>412</v>
      </c>
      <c r="V5" s="1099">
        <f>IF($V$2&lt;4,INDEX('Доставка по областям'!$J$54:$J$57,V2)+INDEX('Доставка по областям'!$J$58:$J$61,$V$3),0)</f>
        <v>0</v>
      </c>
      <c r="W5" s="7"/>
    </row>
    <row r="6" spans="1:28" ht="72.75" customHeight="1" thickBot="1" x14ac:dyDescent="0.3">
      <c r="A6" s="1250" t="s">
        <v>0</v>
      </c>
      <c r="B6" s="1252" t="s">
        <v>1</v>
      </c>
      <c r="C6" s="1254" t="s">
        <v>2</v>
      </c>
      <c r="D6" s="1256" t="s">
        <v>3</v>
      </c>
      <c r="E6" s="1260" t="s">
        <v>36</v>
      </c>
      <c r="F6" s="1260" t="s">
        <v>56</v>
      </c>
      <c r="G6" s="109"/>
      <c r="H6" s="1260" t="s">
        <v>133</v>
      </c>
      <c r="I6" s="1260" t="s">
        <v>56</v>
      </c>
      <c r="J6" s="1276" t="s">
        <v>49</v>
      </c>
      <c r="K6" s="1277"/>
      <c r="L6" s="1278"/>
      <c r="M6" s="1273" t="s">
        <v>48</v>
      </c>
      <c r="N6" s="1274"/>
      <c r="O6" s="1265" t="s">
        <v>44</v>
      </c>
      <c r="P6" s="1266"/>
      <c r="Q6" s="1264" t="s">
        <v>340</v>
      </c>
      <c r="R6" s="1265"/>
      <c r="S6" s="1266"/>
      <c r="T6" s="1100" t="str">
        <f>INDEX('Доставка по областям'!$G$2:$G$90,'ФАСАД Рязань'!$Q$5)</f>
        <v>Завод 'ТЕХНО' г.Рязань</v>
      </c>
      <c r="V6" s="745" t="s">
        <v>414</v>
      </c>
    </row>
    <row r="7" spans="1:28" ht="36.75" thickBot="1" x14ac:dyDescent="0.3">
      <c r="A7" s="1251"/>
      <c r="B7" s="1253"/>
      <c r="C7" s="1255"/>
      <c r="D7" s="1257"/>
      <c r="E7" s="1263"/>
      <c r="F7" s="1262"/>
      <c r="G7" s="110"/>
      <c r="H7" s="1263"/>
      <c r="I7" s="1262"/>
      <c r="J7" s="472" t="s">
        <v>5</v>
      </c>
      <c r="K7" s="473" t="s">
        <v>17</v>
      </c>
      <c r="L7" s="474" t="s">
        <v>18</v>
      </c>
      <c r="M7" s="475" t="s">
        <v>47</v>
      </c>
      <c r="N7" s="476" t="s">
        <v>18</v>
      </c>
      <c r="O7" s="477" t="s">
        <v>43</v>
      </c>
      <c r="P7" s="478" t="s">
        <v>42</v>
      </c>
      <c r="Q7" s="458" t="s">
        <v>6</v>
      </c>
      <c r="R7" s="54" t="s">
        <v>18</v>
      </c>
      <c r="S7" s="41" t="s">
        <v>22</v>
      </c>
      <c r="V7" s="1101" t="str">
        <f>INDEX('Доставка по областям'!$J$2:$J$53,VLOOKUP(ФасадDDP!A3,'Доставка по областям'!$A$2:$F$90,6,0))</f>
        <v>Рязанская</v>
      </c>
      <c r="W7" s="3"/>
      <c r="X7" s="3"/>
      <c r="Y7" s="3"/>
      <c r="Z7" s="82"/>
      <c r="AA7" s="2"/>
    </row>
    <row r="8" spans="1:28" ht="20.100000000000001" customHeight="1" thickBot="1" x14ac:dyDescent="0.3">
      <c r="A8" s="35" t="s">
        <v>10</v>
      </c>
      <c r="B8" s="252">
        <v>1200</v>
      </c>
      <c r="C8" s="250">
        <v>600</v>
      </c>
      <c r="D8" s="251">
        <v>50</v>
      </c>
      <c r="E8" s="238" t="s">
        <v>239</v>
      </c>
      <c r="F8" s="278"/>
      <c r="G8" s="278"/>
      <c r="H8" s="326" t="s">
        <v>134</v>
      </c>
      <c r="I8" s="177" t="str">
        <f>IF(E8="C",ROUNDUP(10000/80/ФасадDDP!O8,0)*ФасадDDP!O8," ")</f>
        <v xml:space="preserve"> </v>
      </c>
      <c r="J8" s="311">
        <v>6</v>
      </c>
      <c r="K8" s="323">
        <v>4.32</v>
      </c>
      <c r="L8" s="327">
        <v>0.216</v>
      </c>
      <c r="M8" s="281">
        <v>32</v>
      </c>
      <c r="N8" s="283">
        <v>6.9119999999999999</v>
      </c>
      <c r="O8" s="229">
        <v>76.031999999999996</v>
      </c>
      <c r="P8" s="321"/>
      <c r="Q8" s="88">
        <f>L8*R8</f>
        <v>755.78399999999999</v>
      </c>
      <c r="R8" s="224">
        <v>3499</v>
      </c>
      <c r="S8" s="101">
        <f>R8*D8/1000</f>
        <v>174.95</v>
      </c>
      <c r="T8" s="745" t="s">
        <v>583</v>
      </c>
      <c r="V8" s="953">
        <f>IF($V$2&lt;4,SUMIFS(РегСкидка!$C$3:$C$619,РегСкидка!$D$3:$D$619,INDEX('Доставка по областям'!$G$2:$G$90,'ФАСАД Рязань'!$Q$5),РегСкидка!$B$3:$B$619,T8,РегСкидка!$E$3:$E$619,$V$7)/100*IF(OR($V$3=1,$V$3=2,$V$3=3,$V$3=4),1,0),0)</f>
        <v>0</v>
      </c>
      <c r="W8" s="1230"/>
      <c r="X8" s="4"/>
      <c r="Y8" s="82"/>
      <c r="Z8" s="82"/>
      <c r="AA8" s="2"/>
      <c r="AB8" s="2"/>
    </row>
    <row r="9" spans="1:28" ht="20.100000000000001" customHeight="1" thickBot="1" x14ac:dyDescent="0.3">
      <c r="A9" s="1246" t="s">
        <v>27</v>
      </c>
      <c r="B9" s="203">
        <v>1200</v>
      </c>
      <c r="C9" s="204">
        <v>600</v>
      </c>
      <c r="D9" s="209">
        <v>60</v>
      </c>
      <c r="E9" s="238" t="s">
        <v>339</v>
      </c>
      <c r="F9" s="263">
        <v>125</v>
      </c>
      <c r="G9" s="263">
        <v>18.08449074074074</v>
      </c>
      <c r="H9" s="264" t="s">
        <v>135</v>
      </c>
      <c r="I9" s="177">
        <f>IF(E9="C",ROUNDUP(10000/80/ФасадDDP!O9,0)*ФасадDDP!O9," ")</f>
        <v>131.328</v>
      </c>
      <c r="J9" s="97">
        <v>5</v>
      </c>
      <c r="K9" s="166">
        <v>2.88</v>
      </c>
      <c r="L9" s="169">
        <v>0.17279999999999998</v>
      </c>
      <c r="M9" s="97">
        <v>32</v>
      </c>
      <c r="N9" s="126">
        <v>6.9119999999999999</v>
      </c>
      <c r="O9" s="231">
        <v>76.031999999999996</v>
      </c>
      <c r="P9" s="266"/>
      <c r="Q9" s="88">
        <f t="shared" ref="Q9:Q66" si="0">L9*R9</f>
        <v>604.6271999999999</v>
      </c>
      <c r="R9" s="224">
        <v>3499</v>
      </c>
      <c r="S9" s="101">
        <f t="shared" ref="S9:S23" si="1">R9*D9/1000</f>
        <v>209.94</v>
      </c>
      <c r="T9" s="745" t="s">
        <v>583</v>
      </c>
      <c r="V9" s="953">
        <f>IF($V$2&lt;4,SUMIFS(РегСкидка!$C$3:$C$619,РегСкидка!$D$3:$D$619,INDEX('Доставка по областям'!$G$2:$G$90,'ФАСАД Рязань'!$Q$5),РегСкидка!$B$3:$B$619,T9,РегСкидка!$E$3:$E$619,$V$7)/100*IF(OR($V$3=1,$V$3=2,$V$3=3,$V$3=4),1,0),0)</f>
        <v>0</v>
      </c>
      <c r="W9" s="1230"/>
      <c r="X9" s="4"/>
      <c r="Y9" s="82"/>
      <c r="Z9" s="82"/>
      <c r="AA9" s="2"/>
      <c r="AB9" s="2"/>
    </row>
    <row r="10" spans="1:28" ht="20.100000000000001" customHeight="1" thickBot="1" x14ac:dyDescent="0.3">
      <c r="A10" s="1246"/>
      <c r="B10" s="203">
        <v>1200</v>
      </c>
      <c r="C10" s="204">
        <v>600</v>
      </c>
      <c r="D10" s="209">
        <v>70</v>
      </c>
      <c r="E10" s="238" t="s">
        <v>339</v>
      </c>
      <c r="F10" s="263">
        <v>125</v>
      </c>
      <c r="G10" s="263">
        <v>19.376240079365079</v>
      </c>
      <c r="H10" s="264" t="s">
        <v>136</v>
      </c>
      <c r="I10" s="177">
        <f>IF(E10="C",ROUNDUP(10000/80/ФасадDDP!O10,0)*ФасадDDP!O10," ")</f>
        <v>129.024</v>
      </c>
      <c r="J10" s="97">
        <v>4</v>
      </c>
      <c r="K10" s="166">
        <v>2.88</v>
      </c>
      <c r="L10" s="169">
        <v>0.2016</v>
      </c>
      <c r="M10" s="97">
        <v>32</v>
      </c>
      <c r="N10" s="126">
        <v>6.4512</v>
      </c>
      <c r="O10" s="231">
        <v>70.963200000000001</v>
      </c>
      <c r="P10" s="266"/>
      <c r="Q10" s="88">
        <f t="shared" si="0"/>
        <v>705.39840000000004</v>
      </c>
      <c r="R10" s="224">
        <v>3499</v>
      </c>
      <c r="S10" s="101">
        <f t="shared" si="1"/>
        <v>244.93</v>
      </c>
      <c r="T10" s="745" t="s">
        <v>583</v>
      </c>
      <c r="V10" s="953">
        <f>IF($V$2&lt;4,SUMIFS(РегСкидка!$C$3:$C$619,РегСкидка!$D$3:$D$619,INDEX('Доставка по областям'!$G$2:$G$90,'ФАСАД Рязань'!$Q$5),РегСкидка!$B$3:$B$619,T10,РегСкидка!$E$3:$E$619,$V$7)/100*IF(OR($V$3=1,$V$3=2,$V$3=3,$V$3=4),1,0),0)</f>
        <v>0</v>
      </c>
      <c r="W10" s="1230"/>
      <c r="X10" s="4"/>
      <c r="Y10" s="82"/>
      <c r="Z10" s="82"/>
      <c r="AA10" s="2"/>
      <c r="AB10" s="2"/>
    </row>
    <row r="11" spans="1:28" ht="20.100000000000001" customHeight="1" thickBot="1" x14ac:dyDescent="0.3">
      <c r="A11" s="1246"/>
      <c r="B11" s="203">
        <v>1200</v>
      </c>
      <c r="C11" s="204">
        <v>600</v>
      </c>
      <c r="D11" s="209">
        <v>80</v>
      </c>
      <c r="E11" s="238" t="s">
        <v>339</v>
      </c>
      <c r="F11" s="263"/>
      <c r="G11" s="263">
        <v>0</v>
      </c>
      <c r="H11" s="264" t="s">
        <v>137</v>
      </c>
      <c r="I11" s="177">
        <f>IF(E11="C",ROUNDUP(10000/80/ФасадDDP!O11,0)*ФасадDDP!O11," ")</f>
        <v>131.32799999999997</v>
      </c>
      <c r="J11" s="97">
        <v>5</v>
      </c>
      <c r="K11" s="166">
        <v>3.6</v>
      </c>
      <c r="L11" s="169">
        <v>0.28799999999999998</v>
      </c>
      <c r="M11" s="97">
        <v>24</v>
      </c>
      <c r="N11" s="126">
        <v>6.911999999999999</v>
      </c>
      <c r="O11" s="231">
        <v>76.031999999999982</v>
      </c>
      <c r="P11" s="266"/>
      <c r="Q11" s="88">
        <f t="shared" si="0"/>
        <v>1007.7119999999999</v>
      </c>
      <c r="R11" s="224">
        <v>3499</v>
      </c>
      <c r="S11" s="101">
        <f t="shared" si="1"/>
        <v>279.92</v>
      </c>
      <c r="T11" s="745" t="s">
        <v>583</v>
      </c>
      <c r="V11" s="953">
        <f>IF($V$2&lt;4,SUMIFS(РегСкидка!$C$3:$C$619,РегСкидка!$D$3:$D$619,INDEX('Доставка по областям'!$G$2:$G$90,'ФАСАД Рязань'!$Q$5),РегСкидка!$B$3:$B$619,T11,РегСкидка!$E$3:$E$619,$V$7)/100*IF(OR($V$3=1,$V$3=2,$V$3=3,$V$3=4),1,0),0)</f>
        <v>0</v>
      </c>
      <c r="W11" s="1230"/>
      <c r="X11" s="4"/>
      <c r="Y11" s="82"/>
      <c r="Z11" s="82"/>
      <c r="AA11" s="2"/>
      <c r="AB11" s="2"/>
    </row>
    <row r="12" spans="1:28" ht="20.100000000000001" customHeight="1" thickBot="1" x14ac:dyDescent="0.3">
      <c r="A12" s="1246"/>
      <c r="B12" s="203">
        <v>1200</v>
      </c>
      <c r="C12" s="204">
        <v>600</v>
      </c>
      <c r="D12" s="209">
        <v>90</v>
      </c>
      <c r="E12" s="238" t="s">
        <v>339</v>
      </c>
      <c r="F12" s="263">
        <v>125</v>
      </c>
      <c r="G12" s="263">
        <v>20.093878600823047</v>
      </c>
      <c r="H12" s="264" t="s">
        <v>698</v>
      </c>
      <c r="I12" s="177">
        <f>IF(E12="C",ROUNDUP(10000/80/ФасадDDP!O12,0)*ФасадDDP!O12," ")</f>
        <v>129.60000000000002</v>
      </c>
      <c r="J12" s="97">
        <v>5</v>
      </c>
      <c r="K12" s="166">
        <v>3.6</v>
      </c>
      <c r="L12" s="169">
        <v>0.32400000000000001</v>
      </c>
      <c r="M12" s="97">
        <v>20</v>
      </c>
      <c r="N12" s="126">
        <v>6.48</v>
      </c>
      <c r="O12" s="231">
        <v>71.28</v>
      </c>
      <c r="P12" s="266"/>
      <c r="Q12" s="88">
        <f t="shared" si="0"/>
        <v>1133.6759999999999</v>
      </c>
      <c r="R12" s="224">
        <v>3499</v>
      </c>
      <c r="S12" s="101">
        <f t="shared" si="1"/>
        <v>314.91000000000003</v>
      </c>
      <c r="T12" s="745" t="s">
        <v>583</v>
      </c>
      <c r="V12" s="953">
        <f>IF($V$2&lt;4,SUMIFS(РегСкидка!$C$3:$C$619,РегСкидка!$D$3:$D$619,INDEX('Доставка по областям'!$G$2:$G$90,'ФАСАД Рязань'!$Q$5),РегСкидка!$B$3:$B$619,T12,РегСкидка!$E$3:$E$619,$V$7)/100*IF(OR($V$3=1,$V$3=2,$V$3=3,$V$3=4),1,0),0)</f>
        <v>0</v>
      </c>
      <c r="W12" s="1230"/>
      <c r="X12" s="4"/>
      <c r="Y12" s="82"/>
      <c r="Z12" s="82"/>
      <c r="AA12" s="2"/>
      <c r="AB12" s="2"/>
    </row>
    <row r="13" spans="1:28" ht="20.100000000000001" customHeight="1" thickBot="1" x14ac:dyDescent="0.3">
      <c r="A13" s="1246"/>
      <c r="B13" s="203">
        <v>1200</v>
      </c>
      <c r="C13" s="204">
        <v>600</v>
      </c>
      <c r="D13" s="209">
        <v>100</v>
      </c>
      <c r="E13" s="238" t="s">
        <v>239</v>
      </c>
      <c r="F13" s="263"/>
      <c r="G13" s="263">
        <v>0</v>
      </c>
      <c r="H13" s="264" t="s">
        <v>138</v>
      </c>
      <c r="I13" s="177" t="str">
        <f>IF(E13="C",ROUNDUP(10000/80/ФасадDDP!O13,0)*ФасадDDP!O13," ")</f>
        <v xml:space="preserve"> </v>
      </c>
      <c r="J13" s="97">
        <v>4</v>
      </c>
      <c r="K13" s="166">
        <v>2.16</v>
      </c>
      <c r="L13" s="169">
        <v>0.216</v>
      </c>
      <c r="M13" s="97">
        <v>24</v>
      </c>
      <c r="N13" s="126">
        <v>6.9119999999999999</v>
      </c>
      <c r="O13" s="231">
        <v>76.031999999999996</v>
      </c>
      <c r="P13" s="266"/>
      <c r="Q13" s="88">
        <f t="shared" si="0"/>
        <v>755.78399999999999</v>
      </c>
      <c r="R13" s="224">
        <v>3499</v>
      </c>
      <c r="S13" s="101">
        <f t="shared" si="1"/>
        <v>349.9</v>
      </c>
      <c r="T13" s="745" t="s">
        <v>583</v>
      </c>
      <c r="V13" s="953">
        <f>IF($V$2&lt;4,SUMIFS(РегСкидка!$C$3:$C$619,РегСкидка!$D$3:$D$619,INDEX('Доставка по областям'!$G$2:$G$90,'ФАСАД Рязань'!$Q$5),РегСкидка!$B$3:$B$619,T13,РегСкидка!$E$3:$E$619,$V$7)/100*IF(OR($V$3=1,$V$3=2,$V$3=3,$V$3=4),1,0),0)</f>
        <v>0</v>
      </c>
      <c r="W13" s="1230"/>
      <c r="X13" s="4"/>
      <c r="Y13" s="82"/>
      <c r="Z13" s="82"/>
      <c r="AA13" s="2"/>
      <c r="AB13" s="2"/>
    </row>
    <row r="14" spans="1:28" ht="20.100000000000001" customHeight="1" thickBot="1" x14ac:dyDescent="0.3">
      <c r="A14" s="1246"/>
      <c r="B14" s="203">
        <v>1200</v>
      </c>
      <c r="C14" s="204">
        <v>600</v>
      </c>
      <c r="D14" s="209">
        <v>110</v>
      </c>
      <c r="E14" s="238" t="s">
        <v>339</v>
      </c>
      <c r="F14" s="263">
        <v>125</v>
      </c>
      <c r="G14" s="263">
        <v>18.789081289081288</v>
      </c>
      <c r="H14" s="264" t="s">
        <v>139</v>
      </c>
      <c r="I14" s="177">
        <f>IF(E14="C",ROUNDUP(10000/80/ФасадDDP!O14,0)*ФасадDDP!O14," ")</f>
        <v>126.40320000000001</v>
      </c>
      <c r="J14" s="97">
        <v>3</v>
      </c>
      <c r="K14" s="166">
        <v>2.16</v>
      </c>
      <c r="L14" s="169">
        <v>0.23760000000000003</v>
      </c>
      <c r="M14" s="97">
        <v>28</v>
      </c>
      <c r="N14" s="126">
        <v>6.6528000000000009</v>
      </c>
      <c r="O14" s="231">
        <v>73.180800000000005</v>
      </c>
      <c r="P14" s="266"/>
      <c r="Q14" s="88">
        <f t="shared" si="0"/>
        <v>831.36240000000009</v>
      </c>
      <c r="R14" s="224">
        <v>3499</v>
      </c>
      <c r="S14" s="101">
        <f t="shared" si="1"/>
        <v>384.89</v>
      </c>
      <c r="T14" s="745" t="s">
        <v>583</v>
      </c>
      <c r="V14" s="953">
        <f>IF($V$2&lt;4,SUMIFS(РегСкидка!$C$3:$C$619,РегСкидка!$D$3:$D$619,INDEX('Доставка по областям'!$G$2:$G$90,'ФАСАД Рязань'!$Q$5),РегСкидка!$B$3:$B$619,T14,РегСкидка!$E$3:$E$619,$V$7)/100*IF(OR($V$3=1,$V$3=2,$V$3=3,$V$3=4),1,0),0)</f>
        <v>0</v>
      </c>
      <c r="W14" s="1230"/>
      <c r="X14" s="4"/>
      <c r="Y14" s="82"/>
      <c r="Z14" s="82"/>
      <c r="AA14" s="2"/>
      <c r="AB14" s="2"/>
    </row>
    <row r="15" spans="1:28" ht="20.100000000000001" customHeight="1" thickBot="1" x14ac:dyDescent="0.3">
      <c r="A15" s="1246"/>
      <c r="B15" s="203">
        <v>1200</v>
      </c>
      <c r="C15" s="204">
        <v>600</v>
      </c>
      <c r="D15" s="209">
        <v>120</v>
      </c>
      <c r="E15" s="238" t="s">
        <v>339</v>
      </c>
      <c r="F15" s="263">
        <v>125</v>
      </c>
      <c r="G15" s="263">
        <v>20.093878600823043</v>
      </c>
      <c r="H15" s="264" t="s">
        <v>699</v>
      </c>
      <c r="I15" s="177">
        <f>IF(E15="C",ROUNDUP(10000/80/ФасадDDP!O15,0)*ФасадDDP!O15," ")</f>
        <v>131.32799999999997</v>
      </c>
      <c r="J15" s="97">
        <v>2</v>
      </c>
      <c r="K15" s="166">
        <v>1.44</v>
      </c>
      <c r="L15" s="169">
        <v>0.17280000000000001</v>
      </c>
      <c r="M15" s="97">
        <v>40</v>
      </c>
      <c r="N15" s="126">
        <v>6.9119999999999999</v>
      </c>
      <c r="O15" s="231">
        <v>76.031999999999996</v>
      </c>
      <c r="P15" s="266"/>
      <c r="Q15" s="88">
        <f t="shared" si="0"/>
        <v>604.62720000000002</v>
      </c>
      <c r="R15" s="224">
        <v>3499</v>
      </c>
      <c r="S15" s="101">
        <f t="shared" si="1"/>
        <v>419.88</v>
      </c>
      <c r="T15" s="745" t="s">
        <v>583</v>
      </c>
      <c r="V15" s="953">
        <f>IF($V$2&lt;4,SUMIFS(РегСкидка!$C$3:$C$619,РегСкидка!$D$3:$D$619,INDEX('Доставка по областям'!$G$2:$G$90,'ФАСАД Рязань'!$Q$5),РегСкидка!$B$3:$B$619,T15,РегСкидка!$E$3:$E$619,$V$7)/100*IF(OR($V$3=1,$V$3=2,$V$3=3,$V$3=4),1,0),0)</f>
        <v>0</v>
      </c>
      <c r="W15" s="1230"/>
      <c r="X15" s="4"/>
      <c r="Y15" s="82"/>
      <c r="Z15" s="82"/>
      <c r="AA15" s="2"/>
      <c r="AB15" s="2"/>
    </row>
    <row r="16" spans="1:28" ht="20.100000000000001" customHeight="1" thickBot="1" x14ac:dyDescent="0.3">
      <c r="A16" s="1246"/>
      <c r="B16" s="203">
        <v>1200</v>
      </c>
      <c r="C16" s="204">
        <v>600</v>
      </c>
      <c r="D16" s="209">
        <v>130</v>
      </c>
      <c r="E16" s="238" t="s">
        <v>339</v>
      </c>
      <c r="F16" s="263">
        <v>125</v>
      </c>
      <c r="G16" s="263">
        <v>18.548195631528966</v>
      </c>
      <c r="H16" s="264" t="s">
        <v>140</v>
      </c>
      <c r="I16" s="177">
        <f>IF(E16="C",ROUNDUP(10000/80/ФасадDDP!O16,0)*ФасадDDP!O16," ")</f>
        <v>128.04479999999998</v>
      </c>
      <c r="J16" s="97">
        <v>2</v>
      </c>
      <c r="K16" s="166">
        <v>1.44</v>
      </c>
      <c r="L16" s="169">
        <v>0.18719999999999998</v>
      </c>
      <c r="M16" s="97">
        <v>36</v>
      </c>
      <c r="N16" s="126">
        <v>6.7391999999999994</v>
      </c>
      <c r="O16" s="231">
        <v>74.131199999999993</v>
      </c>
      <c r="P16" s="266"/>
      <c r="Q16" s="88">
        <f t="shared" si="0"/>
        <v>655.01279999999997</v>
      </c>
      <c r="R16" s="224">
        <v>3499</v>
      </c>
      <c r="S16" s="101">
        <f t="shared" si="1"/>
        <v>454.87</v>
      </c>
      <c r="T16" s="745" t="s">
        <v>583</v>
      </c>
      <c r="V16" s="953">
        <f>IF($V$2&lt;4,SUMIFS(РегСкидка!$C$3:$C$619,РегСкидка!$D$3:$D$619,INDEX('Доставка по областям'!$G$2:$G$90,'ФАСАД Рязань'!$Q$5),РегСкидка!$B$3:$B$619,T16,РегСкидка!$E$3:$E$619,$V$7)/100*IF(OR($V$3=1,$V$3=2,$V$3=3,$V$3=4),1,0),0)</f>
        <v>0</v>
      </c>
      <c r="W16" s="1230"/>
      <c r="X16" s="4"/>
      <c r="Y16" s="82"/>
      <c r="Z16" s="82"/>
      <c r="AA16" s="2"/>
      <c r="AB16" s="2"/>
    </row>
    <row r="17" spans="1:28" ht="20.100000000000001" customHeight="1" thickBot="1" x14ac:dyDescent="0.3">
      <c r="A17" s="1246"/>
      <c r="B17" s="203">
        <v>1200</v>
      </c>
      <c r="C17" s="204">
        <v>600</v>
      </c>
      <c r="D17" s="209">
        <v>140</v>
      </c>
      <c r="E17" s="238" t="s">
        <v>339</v>
      </c>
      <c r="F17" s="263">
        <v>125</v>
      </c>
      <c r="G17" s="263">
        <v>19.376240079365079</v>
      </c>
      <c r="H17" s="264" t="s">
        <v>141</v>
      </c>
      <c r="I17" s="177">
        <f>IF(E17="C",ROUNDUP(10000/80/ФасадDDP!O17,0)*ФасадDDP!O17," ")</f>
        <v>129.024</v>
      </c>
      <c r="J17" s="97">
        <v>2</v>
      </c>
      <c r="K17" s="166">
        <v>1.44</v>
      </c>
      <c r="L17" s="169">
        <v>0.2016</v>
      </c>
      <c r="M17" s="97">
        <v>32</v>
      </c>
      <c r="N17" s="126">
        <v>6.4512</v>
      </c>
      <c r="O17" s="231">
        <v>70.963200000000001</v>
      </c>
      <c r="P17" s="266"/>
      <c r="Q17" s="88">
        <f t="shared" si="0"/>
        <v>705.39840000000004</v>
      </c>
      <c r="R17" s="224">
        <v>3499</v>
      </c>
      <c r="S17" s="101">
        <f t="shared" si="1"/>
        <v>489.86</v>
      </c>
      <c r="T17" s="745" t="s">
        <v>583</v>
      </c>
      <c r="V17" s="953">
        <f>IF($V$2&lt;4,SUMIFS(РегСкидка!$C$3:$C$619,РегСкидка!$D$3:$D$619,INDEX('Доставка по областям'!$G$2:$G$90,'ФАСАД Рязань'!$Q$5),РегСкидка!$B$3:$B$619,T17,РегСкидка!$E$3:$E$619,$V$7)/100*IF(OR($V$3=1,$V$3=2,$V$3=3,$V$3=4),1,0),0)</f>
        <v>0</v>
      </c>
      <c r="W17" s="1230"/>
      <c r="X17" s="4"/>
      <c r="Y17" s="82"/>
      <c r="Z17" s="82"/>
      <c r="AA17" s="2"/>
      <c r="AB17" s="2"/>
    </row>
    <row r="18" spans="1:28" ht="20.100000000000001" customHeight="1" thickBot="1" x14ac:dyDescent="0.3">
      <c r="A18" s="1246"/>
      <c r="B18" s="203">
        <v>1200</v>
      </c>
      <c r="C18" s="204">
        <v>600</v>
      </c>
      <c r="D18" s="209">
        <v>150</v>
      </c>
      <c r="E18" s="238" t="s">
        <v>339</v>
      </c>
      <c r="F18" s="263">
        <v>125</v>
      </c>
      <c r="G18" s="263">
        <v>18.08449074074074</v>
      </c>
      <c r="H18" s="264" t="s">
        <v>142</v>
      </c>
      <c r="I18" s="177">
        <f>IF(E18="C",ROUNDUP(10000/80/ФасадDDP!O18,0)*ФасадDDP!O18," ")</f>
        <v>131.328</v>
      </c>
      <c r="J18" s="97">
        <v>2</v>
      </c>
      <c r="K18" s="166">
        <v>1.44</v>
      </c>
      <c r="L18" s="169">
        <v>0.216</v>
      </c>
      <c r="M18" s="97">
        <v>32</v>
      </c>
      <c r="N18" s="126">
        <v>6.9119999999999999</v>
      </c>
      <c r="O18" s="231">
        <v>76.031999999999996</v>
      </c>
      <c r="P18" s="266"/>
      <c r="Q18" s="88">
        <f t="shared" si="0"/>
        <v>755.78399999999999</v>
      </c>
      <c r="R18" s="224">
        <v>3499</v>
      </c>
      <c r="S18" s="101">
        <f t="shared" si="1"/>
        <v>524.85</v>
      </c>
      <c r="T18" s="745" t="s">
        <v>583</v>
      </c>
      <c r="V18" s="953">
        <f>IF($V$2&lt;4,SUMIFS(РегСкидка!$C$3:$C$619,РегСкидка!$D$3:$D$619,INDEX('Доставка по областям'!$G$2:$G$90,'ФАСАД Рязань'!$Q$5),РегСкидка!$B$3:$B$619,T18,РегСкидка!$E$3:$E$619,$V$7)/100*IF(OR($V$3=1,$V$3=2,$V$3=3,$V$3=4),1,0),0)</f>
        <v>0</v>
      </c>
      <c r="W18" s="1230"/>
      <c r="X18" s="4"/>
      <c r="Y18" s="82"/>
      <c r="Z18" s="82"/>
      <c r="AA18" s="2"/>
      <c r="AB18" s="2"/>
    </row>
    <row r="19" spans="1:28" ht="20.100000000000001" customHeight="1" thickBot="1" x14ac:dyDescent="0.3">
      <c r="A19" s="1246"/>
      <c r="B19" s="203">
        <v>1200</v>
      </c>
      <c r="C19" s="204">
        <v>600</v>
      </c>
      <c r="D19" s="209">
        <v>160</v>
      </c>
      <c r="E19" s="238" t="s">
        <v>339</v>
      </c>
      <c r="F19" s="263">
        <v>125</v>
      </c>
      <c r="G19" s="263">
        <v>19.376240079365083</v>
      </c>
      <c r="H19" s="264" t="s">
        <v>143</v>
      </c>
      <c r="I19" s="177">
        <f>IF(E19="C",ROUNDUP(10000/80/ФасадDDP!O19,0)*ФасадDDP!O19," ")</f>
        <v>129.02399999999997</v>
      </c>
      <c r="J19" s="97">
        <v>2</v>
      </c>
      <c r="K19" s="166">
        <v>1.44</v>
      </c>
      <c r="L19" s="169">
        <v>0.23039999999999997</v>
      </c>
      <c r="M19" s="97">
        <v>28</v>
      </c>
      <c r="N19" s="126">
        <v>6.4511999999999992</v>
      </c>
      <c r="O19" s="231">
        <v>70.963199999999986</v>
      </c>
      <c r="P19" s="266"/>
      <c r="Q19" s="88">
        <f t="shared" si="0"/>
        <v>806.16959999999983</v>
      </c>
      <c r="R19" s="224">
        <v>3499</v>
      </c>
      <c r="S19" s="101">
        <f t="shared" si="1"/>
        <v>559.84</v>
      </c>
      <c r="T19" s="745" t="s">
        <v>583</v>
      </c>
      <c r="V19" s="953">
        <f>IF($V$2&lt;4,SUMIFS(РегСкидка!$C$3:$C$619,РегСкидка!$D$3:$D$619,INDEX('Доставка по областям'!$G$2:$G$90,'ФАСАД Рязань'!$Q$5),РегСкидка!$B$3:$B$619,T19,РегСкидка!$E$3:$E$619,$V$7)/100*IF(OR($V$3=1,$V$3=2,$V$3=3,$V$3=4),1,0),0)</f>
        <v>0</v>
      </c>
      <c r="W19" s="1230"/>
      <c r="X19" s="4"/>
      <c r="Y19" s="82"/>
      <c r="Z19" s="82"/>
      <c r="AA19" s="2"/>
      <c r="AB19" s="2"/>
    </row>
    <row r="20" spans="1:28" ht="20.100000000000001" customHeight="1" thickBot="1" x14ac:dyDescent="0.3">
      <c r="A20" s="1246"/>
      <c r="B20" s="203">
        <v>1200</v>
      </c>
      <c r="C20" s="204">
        <v>600</v>
      </c>
      <c r="D20" s="209">
        <v>170</v>
      </c>
      <c r="E20" s="238" t="s">
        <v>339</v>
      </c>
      <c r="F20" s="263">
        <v>125</v>
      </c>
      <c r="G20" s="263">
        <v>18.236461251167132</v>
      </c>
      <c r="H20" s="264" t="s">
        <v>144</v>
      </c>
      <c r="I20" s="177">
        <f>IF(E20="C",ROUNDUP(10000/80/ФасадDDP!O20,0)*ФасадDDP!O20," ")</f>
        <v>130.2336</v>
      </c>
      <c r="J20" s="97">
        <v>2</v>
      </c>
      <c r="K20" s="166">
        <v>1.44</v>
      </c>
      <c r="L20" s="169">
        <v>0.24479999999999999</v>
      </c>
      <c r="M20" s="97">
        <v>28</v>
      </c>
      <c r="N20" s="126">
        <v>6.8544</v>
      </c>
      <c r="O20" s="231">
        <v>75.398399999999995</v>
      </c>
      <c r="P20" s="266"/>
      <c r="Q20" s="88">
        <f t="shared" si="0"/>
        <v>856.55520000000001</v>
      </c>
      <c r="R20" s="224">
        <v>3499</v>
      </c>
      <c r="S20" s="101">
        <f t="shared" si="1"/>
        <v>594.83000000000004</v>
      </c>
      <c r="T20" s="745" t="s">
        <v>583</v>
      </c>
      <c r="V20" s="953">
        <f>IF($V$2&lt;4,SUMIFS(РегСкидка!$C$3:$C$619,РегСкидка!$D$3:$D$619,INDEX('Доставка по областям'!$G$2:$G$90,'ФАСАД Рязань'!$Q$5),РегСкидка!$B$3:$B$619,T20,РегСкидка!$E$3:$E$619,$V$7)/100*IF(OR($V$3=1,$V$3=2,$V$3=3,$V$3=4),1,0),0)</f>
        <v>0</v>
      </c>
      <c r="W20" s="1230"/>
      <c r="X20" s="4"/>
      <c r="Y20" s="82"/>
      <c r="Z20" s="82"/>
      <c r="AA20" s="2"/>
      <c r="AB20" s="2"/>
    </row>
    <row r="21" spans="1:28" ht="20.100000000000001" customHeight="1" thickBot="1" x14ac:dyDescent="0.3">
      <c r="A21" s="1246"/>
      <c r="B21" s="203">
        <v>1200</v>
      </c>
      <c r="C21" s="204">
        <v>600</v>
      </c>
      <c r="D21" s="209">
        <v>180</v>
      </c>
      <c r="E21" s="238" t="s">
        <v>339</v>
      </c>
      <c r="F21" s="263">
        <v>125</v>
      </c>
      <c r="G21" s="263">
        <v>20.093878600823047</v>
      </c>
      <c r="H21" s="264" t="s">
        <v>145</v>
      </c>
      <c r="I21" s="177">
        <f>IF(E21="C",ROUNDUP(10000/80/ФасадDDP!O21,0)*ФасадDDP!O21," ")</f>
        <v>130.63679999999999</v>
      </c>
      <c r="J21" s="97">
        <v>2</v>
      </c>
      <c r="K21" s="166">
        <v>1.44</v>
      </c>
      <c r="L21" s="169">
        <v>0.25919999999999999</v>
      </c>
      <c r="M21" s="97">
        <v>24</v>
      </c>
      <c r="N21" s="126">
        <v>6.2207999999999997</v>
      </c>
      <c r="O21" s="231">
        <v>68.428799999999995</v>
      </c>
      <c r="P21" s="266"/>
      <c r="Q21" s="88">
        <f t="shared" si="0"/>
        <v>906.94079999999997</v>
      </c>
      <c r="R21" s="224">
        <v>3499</v>
      </c>
      <c r="S21" s="101">
        <f t="shared" si="1"/>
        <v>629.82000000000005</v>
      </c>
      <c r="T21" s="745" t="s">
        <v>583</v>
      </c>
      <c r="V21" s="953">
        <f>IF($V$2&lt;4,SUMIFS(РегСкидка!$C$3:$C$619,РегСкидка!$D$3:$D$619,INDEX('Доставка по областям'!$G$2:$G$90,'ФАСАД Рязань'!$Q$5),РегСкидка!$B$3:$B$619,T21,РегСкидка!$E$3:$E$619,$V$7)/100*IF(OR($V$3=1,$V$3=2,$V$3=3,$V$3=4),1,0),0)</f>
        <v>0</v>
      </c>
      <c r="W21" s="1230"/>
      <c r="X21" s="4"/>
      <c r="Y21" s="82"/>
      <c r="Z21" s="82"/>
      <c r="AA21" s="2"/>
      <c r="AB21" s="2"/>
    </row>
    <row r="22" spans="1:28" ht="20.100000000000001" customHeight="1" thickBot="1" x14ac:dyDescent="0.3">
      <c r="A22" s="1246"/>
      <c r="B22" s="203">
        <v>1200</v>
      </c>
      <c r="C22" s="204">
        <v>600</v>
      </c>
      <c r="D22" s="209">
        <v>190</v>
      </c>
      <c r="E22" s="238" t="s">
        <v>339</v>
      </c>
      <c r="F22" s="263">
        <v>125</v>
      </c>
      <c r="G22" s="263">
        <v>19.036306042884995</v>
      </c>
      <c r="H22" s="264" t="s">
        <v>146</v>
      </c>
      <c r="I22" s="177">
        <f>IF(E22="C",ROUNDUP(10000/80/ФасадDDP!O22,0)*ФасадDDP!O22," ")</f>
        <v>131.32799999999997</v>
      </c>
      <c r="J22" s="97">
        <v>2</v>
      </c>
      <c r="K22" s="166">
        <v>1.44</v>
      </c>
      <c r="L22" s="169">
        <v>0.27359999999999995</v>
      </c>
      <c r="M22" s="97">
        <v>24</v>
      </c>
      <c r="N22" s="126">
        <v>6.5663999999999989</v>
      </c>
      <c r="O22" s="231">
        <v>72.230399999999989</v>
      </c>
      <c r="P22" s="266"/>
      <c r="Q22" s="88">
        <f t="shared" si="0"/>
        <v>957.32639999999981</v>
      </c>
      <c r="R22" s="224">
        <v>3499</v>
      </c>
      <c r="S22" s="101">
        <f t="shared" si="1"/>
        <v>664.81</v>
      </c>
      <c r="T22" s="745" t="s">
        <v>583</v>
      </c>
      <c r="V22" s="953">
        <f>IF($V$2&lt;4,SUMIFS(РегСкидка!$C$3:$C$619,РегСкидка!$D$3:$D$619,INDEX('Доставка по областям'!$G$2:$G$90,'ФАСАД Рязань'!$Q$5),РегСкидка!$B$3:$B$619,T22,РегСкидка!$E$3:$E$619,$V$7)/100*IF(OR($V$3=1,$V$3=2,$V$3=3,$V$3=4),1,0),0)</f>
        <v>0</v>
      </c>
      <c r="W22" s="1230"/>
      <c r="X22" s="4"/>
      <c r="Y22" s="82"/>
      <c r="Z22" s="82"/>
      <c r="AA22" s="2"/>
      <c r="AB22" s="2"/>
    </row>
    <row r="23" spans="1:28" ht="20.100000000000001" customHeight="1" thickBot="1" x14ac:dyDescent="0.3">
      <c r="A23" s="1247"/>
      <c r="B23" s="240">
        <v>1200</v>
      </c>
      <c r="C23" s="241">
        <v>600</v>
      </c>
      <c r="D23" s="242">
        <v>200</v>
      </c>
      <c r="E23" s="238" t="s">
        <v>339</v>
      </c>
      <c r="F23" s="263">
        <v>125</v>
      </c>
      <c r="G23" s="289">
        <v>18.084490740740744</v>
      </c>
      <c r="H23" s="317" t="s">
        <v>147</v>
      </c>
      <c r="I23" s="445">
        <f>IF(E23="C",ROUNDUP(10000/80/ФасадDDP!O23,0)*ФасадDDP!O23," ")</f>
        <v>131.32799999999997</v>
      </c>
      <c r="J23" s="306">
        <v>2</v>
      </c>
      <c r="K23" s="167">
        <v>1.44</v>
      </c>
      <c r="L23" s="307">
        <v>0.28799999999999998</v>
      </c>
      <c r="M23" s="306">
        <v>24</v>
      </c>
      <c r="N23" s="129">
        <v>6.911999999999999</v>
      </c>
      <c r="O23" s="260">
        <v>76.031999999999982</v>
      </c>
      <c r="P23" s="308"/>
      <c r="Q23" s="479">
        <f t="shared" si="0"/>
        <v>1007.7119999999999</v>
      </c>
      <c r="R23" s="224">
        <v>3499</v>
      </c>
      <c r="S23" s="101">
        <f t="shared" si="1"/>
        <v>699.8</v>
      </c>
      <c r="T23" s="745" t="s">
        <v>583</v>
      </c>
      <c r="V23" s="953">
        <f>IF($V$2&lt;4,SUMIFS(РегСкидка!$C$3:$C$619,РегСкидка!$D$3:$D$619,INDEX('Доставка по областям'!$G$2:$G$90,'ФАСАД Рязань'!$Q$5),РегСкидка!$B$3:$B$619,T23,РегСкидка!$E$3:$E$619,$V$7)/100*IF(OR($V$3=1,$V$3=2,$V$3=3,$V$3=4),1,0),0)</f>
        <v>0</v>
      </c>
      <c r="W23" s="1230"/>
      <c r="X23" s="4"/>
      <c r="Y23" s="82"/>
      <c r="Z23" s="82"/>
      <c r="AA23" s="2"/>
      <c r="AB23" s="2"/>
    </row>
    <row r="24" spans="1:28" ht="20.100000000000001" customHeight="1" thickBot="1" x14ac:dyDescent="0.3">
      <c r="A24" s="35" t="s">
        <v>11</v>
      </c>
      <c r="B24" s="252">
        <v>1200</v>
      </c>
      <c r="C24" s="250">
        <v>600</v>
      </c>
      <c r="D24" s="251">
        <v>50</v>
      </c>
      <c r="E24" s="238" t="s">
        <v>239</v>
      </c>
      <c r="F24" s="278"/>
      <c r="G24" s="319">
        <v>0</v>
      </c>
      <c r="H24" s="310" t="s">
        <v>148</v>
      </c>
      <c r="I24" s="178" t="str">
        <f>IF(E24="C",ROUNDUP(10000/90/ФасадDDP!O24,0)*ФасадDDP!O24," ")</f>
        <v xml:space="preserve"> </v>
      </c>
      <c r="J24" s="311">
        <v>6</v>
      </c>
      <c r="K24" s="323">
        <v>4.32</v>
      </c>
      <c r="L24" s="228">
        <v>0.216</v>
      </c>
      <c r="M24" s="311">
        <v>32</v>
      </c>
      <c r="N24" s="228">
        <v>6.9119999999999999</v>
      </c>
      <c r="O24" s="226">
        <v>76.031999999999996</v>
      </c>
      <c r="P24" s="321"/>
      <c r="Q24" s="88">
        <f>L24*R24</f>
        <v>842.18399999999997</v>
      </c>
      <c r="R24" s="656">
        <v>3899</v>
      </c>
      <c r="S24" s="313">
        <v>185.66749999999993</v>
      </c>
      <c r="T24" s="745" t="s">
        <v>583</v>
      </c>
      <c r="V24" s="953">
        <f>IF($V$2&lt;4,SUMIFS(РегСкидка!$C$3:$C$619,РегСкидка!$D$3:$D$619,INDEX('Доставка по областям'!$G$2:$G$90,'ФАСАД Рязань'!$Q$5),РегСкидка!$B$3:$B$619,T24,РегСкидка!$E$3:$E$619,$V$7)/100*IF(OR($V$3=1,$V$3=2,$V$3=3,$V$3=4),1,0),0)</f>
        <v>0</v>
      </c>
      <c r="W24" s="1230"/>
      <c r="X24" s="4"/>
      <c r="Y24" s="82"/>
      <c r="AA24" s="2"/>
    </row>
    <row r="25" spans="1:28" ht="20.100000000000001" customHeight="1" thickBot="1" x14ac:dyDescent="0.3">
      <c r="A25" s="1246" t="s">
        <v>27</v>
      </c>
      <c r="B25" s="203">
        <v>1200</v>
      </c>
      <c r="C25" s="204">
        <v>600</v>
      </c>
      <c r="D25" s="209">
        <v>60</v>
      </c>
      <c r="E25" s="238" t="s">
        <v>339</v>
      </c>
      <c r="F25" s="263">
        <v>111.11111111111111</v>
      </c>
      <c r="G25" s="263">
        <v>16.075102880658438</v>
      </c>
      <c r="H25" s="264" t="s">
        <v>149</v>
      </c>
      <c r="I25" s="177">
        <f>IF(E25="C",ROUNDUP(10000/90/ФасадDDP!O25,0)*ФасадDDP!O25," ")</f>
        <v>117.504</v>
      </c>
      <c r="J25" s="97">
        <v>5</v>
      </c>
      <c r="K25" s="168">
        <v>3.6</v>
      </c>
      <c r="L25" s="324">
        <v>0.216</v>
      </c>
      <c r="M25" s="97">
        <v>32</v>
      </c>
      <c r="N25" s="126">
        <v>6.9119999999999999</v>
      </c>
      <c r="O25" s="227">
        <v>76.031999999999996</v>
      </c>
      <c r="P25" s="266"/>
      <c r="Q25" s="88">
        <f t="shared" si="0"/>
        <v>842.18399999999997</v>
      </c>
      <c r="R25" s="657">
        <v>3899</v>
      </c>
      <c r="S25" s="206">
        <v>222.80099999999993</v>
      </c>
      <c r="T25" s="745" t="s">
        <v>583</v>
      </c>
      <c r="V25" s="953">
        <f>IF($V$2&lt;4,SUMIFS(РегСкидка!$C$3:$C$619,РегСкидка!$D$3:$D$619,INDEX('Доставка по областям'!$G$2:$G$90,'ФАСАД Рязань'!$Q$5),РегСкидка!$B$3:$B$619,T25,РегСкидка!$E$3:$E$619,$V$7)/100*IF(OR($V$3=1,$V$3=2,$V$3=3,$V$3=4),1,0),0)</f>
        <v>0</v>
      </c>
      <c r="W25" s="1230"/>
      <c r="X25" s="4"/>
      <c r="Y25" s="82"/>
      <c r="Z25" s="82"/>
      <c r="AA25" s="2"/>
    </row>
    <row r="26" spans="1:28" ht="20.100000000000001" customHeight="1" thickBot="1" x14ac:dyDescent="0.3">
      <c r="A26" s="1246"/>
      <c r="B26" s="203">
        <v>1200</v>
      </c>
      <c r="C26" s="204">
        <v>600</v>
      </c>
      <c r="D26" s="209">
        <v>70</v>
      </c>
      <c r="E26" s="238" t="s">
        <v>339</v>
      </c>
      <c r="F26" s="263">
        <v>111.11111111111111</v>
      </c>
      <c r="G26" s="263">
        <v>17.223324514991184</v>
      </c>
      <c r="H26" s="264" t="s">
        <v>150</v>
      </c>
      <c r="I26" s="177">
        <f>IF(E26="C",ROUNDUP(10000/90/ФасадDDP!O26,0)*ФасадDDP!O26," ")</f>
        <v>116.1216</v>
      </c>
      <c r="J26" s="97">
        <v>4</v>
      </c>
      <c r="K26" s="168">
        <v>2.8800000000000003</v>
      </c>
      <c r="L26" s="126">
        <v>0.2016</v>
      </c>
      <c r="M26" s="97">
        <v>32</v>
      </c>
      <c r="N26" s="126">
        <v>6.4512</v>
      </c>
      <c r="O26" s="227">
        <v>70.963200000000001</v>
      </c>
      <c r="P26" s="266"/>
      <c r="Q26" s="88">
        <f t="shared" si="0"/>
        <v>786.03840000000002</v>
      </c>
      <c r="R26" s="657">
        <v>3899</v>
      </c>
      <c r="S26" s="206">
        <v>259.93449999999996</v>
      </c>
      <c r="T26" s="745" t="s">
        <v>583</v>
      </c>
      <c r="V26" s="953">
        <f>IF($V$2&lt;4,SUMIFS(РегСкидка!$C$3:$C$619,РегСкидка!$D$3:$D$619,INDEX('Доставка по областям'!$G$2:$G$90,'ФАСАД Рязань'!$Q$5),РегСкидка!$B$3:$B$619,T26,РегСкидка!$E$3:$E$619,$V$7)/100*IF(OR($V$3=1,$V$3=2,$V$3=3,$V$3=4),1,0),0)</f>
        <v>0</v>
      </c>
      <c r="W26" s="1230"/>
      <c r="X26" s="4"/>
      <c r="Y26" s="82"/>
      <c r="Z26" s="82"/>
      <c r="AA26" s="2"/>
    </row>
    <row r="27" spans="1:28" ht="20.100000000000001" customHeight="1" thickBot="1" x14ac:dyDescent="0.3">
      <c r="A27" s="1246"/>
      <c r="B27" s="203">
        <v>1200</v>
      </c>
      <c r="C27" s="204">
        <v>600</v>
      </c>
      <c r="D27" s="209">
        <v>80</v>
      </c>
      <c r="E27" s="238" t="s">
        <v>339</v>
      </c>
      <c r="F27" s="263">
        <v>111.11111111111111</v>
      </c>
      <c r="G27" s="263">
        <v>16.075102880658438</v>
      </c>
      <c r="H27" s="264" t="s">
        <v>151</v>
      </c>
      <c r="I27" s="177">
        <f>IF(E27="C",ROUNDUP(10000/90/ФасадDDP!O27,0)*ФасадDDP!O27," ")</f>
        <v>117.50399999999999</v>
      </c>
      <c r="J27" s="97">
        <v>5</v>
      </c>
      <c r="K27" s="168">
        <v>3.6</v>
      </c>
      <c r="L27" s="126">
        <v>0.28799999999999998</v>
      </c>
      <c r="M27" s="97">
        <v>24</v>
      </c>
      <c r="N27" s="126">
        <v>6.911999999999999</v>
      </c>
      <c r="O27" s="227">
        <v>76.031999999999982</v>
      </c>
      <c r="P27" s="266"/>
      <c r="Q27" s="88">
        <f t="shared" si="0"/>
        <v>1122.9119999999998</v>
      </c>
      <c r="R27" s="657">
        <v>3899</v>
      </c>
      <c r="S27" s="206">
        <v>297.06799999999993</v>
      </c>
      <c r="T27" s="745" t="s">
        <v>583</v>
      </c>
      <c r="V27" s="953">
        <f>IF($V$2&lt;4,SUMIFS(РегСкидка!$C$3:$C$619,РегСкидка!$D$3:$D$619,INDEX('Доставка по областям'!$G$2:$G$90,'ФАСАД Рязань'!$Q$5),РегСкидка!$B$3:$B$619,T27,РегСкидка!$E$3:$E$619,$V$7)/100*IF(OR($V$3=1,$V$3=2,$V$3=3,$V$3=4),1,0),0)</f>
        <v>0</v>
      </c>
      <c r="W27" s="1230"/>
      <c r="X27" s="4"/>
      <c r="Y27" s="82"/>
      <c r="Z27" s="82"/>
      <c r="AA27" s="2"/>
    </row>
    <row r="28" spans="1:28" ht="20.100000000000001" customHeight="1" thickBot="1" x14ac:dyDescent="0.3">
      <c r="A28" s="1246"/>
      <c r="B28" s="203">
        <v>1200</v>
      </c>
      <c r="C28" s="204">
        <v>600</v>
      </c>
      <c r="D28" s="209">
        <v>90</v>
      </c>
      <c r="E28" s="238" t="s">
        <v>339</v>
      </c>
      <c r="F28" s="263">
        <v>111.11111111111111</v>
      </c>
      <c r="G28" s="263">
        <v>17.861225422953819</v>
      </c>
      <c r="H28" s="264" t="s">
        <v>249</v>
      </c>
      <c r="I28" s="177">
        <f>IF(E28="C",ROUNDUP(10000/90/ФасадDDP!O28,0)*ФасадDDP!O28," ")</f>
        <v>111.97439999999999</v>
      </c>
      <c r="J28" s="97">
        <v>4</v>
      </c>
      <c r="K28" s="168">
        <v>2.88</v>
      </c>
      <c r="L28" s="126">
        <v>0.25919999999999999</v>
      </c>
      <c r="M28" s="97">
        <v>24</v>
      </c>
      <c r="N28" s="126">
        <v>6.2207999999999997</v>
      </c>
      <c r="O28" s="227">
        <v>68.428799999999995</v>
      </c>
      <c r="P28" s="266"/>
      <c r="Q28" s="88">
        <f t="shared" si="0"/>
        <v>1010.6207999999999</v>
      </c>
      <c r="R28" s="657">
        <v>3899</v>
      </c>
      <c r="S28" s="267">
        <v>334.2014999999999</v>
      </c>
      <c r="T28" s="745" t="s">
        <v>583</v>
      </c>
      <c r="V28" s="953">
        <f>IF($V$2&lt;4,SUMIFS(РегСкидка!$C$3:$C$619,РегСкидка!$D$3:$D$619,INDEX('Доставка по областям'!$G$2:$G$90,'ФАСАД Рязань'!$Q$5),РегСкидка!$B$3:$B$619,T28,РегСкидка!$E$3:$E$619,$V$7)/100*IF(OR($V$3=1,$V$3=2,$V$3=3,$V$3=4),1,0),0)</f>
        <v>0</v>
      </c>
      <c r="W28" s="1230"/>
      <c r="X28" s="4"/>
      <c r="Y28" s="82"/>
      <c r="Z28" s="82"/>
      <c r="AA28" s="2"/>
    </row>
    <row r="29" spans="1:28" ht="20.100000000000001" customHeight="1" thickBot="1" x14ac:dyDescent="0.3">
      <c r="A29" s="1246"/>
      <c r="B29" s="203">
        <v>1200</v>
      </c>
      <c r="C29" s="204">
        <v>600</v>
      </c>
      <c r="D29" s="209">
        <v>100</v>
      </c>
      <c r="E29" s="238" t="s">
        <v>339</v>
      </c>
      <c r="F29" s="263"/>
      <c r="G29" s="263">
        <v>0</v>
      </c>
      <c r="H29" s="264" t="s">
        <v>152</v>
      </c>
      <c r="I29" s="177">
        <f>IF(E29="C",ROUNDUP(10000/90/ФасадDDP!O29,0)*ФасадDDP!O29," ")</f>
        <v>117.50399999999999</v>
      </c>
      <c r="J29" s="97">
        <v>4</v>
      </c>
      <c r="K29" s="168">
        <v>2.88</v>
      </c>
      <c r="L29" s="126">
        <v>0.28799999999999998</v>
      </c>
      <c r="M29" s="97">
        <v>24</v>
      </c>
      <c r="N29" s="126">
        <v>6.911999999999999</v>
      </c>
      <c r="O29" s="227">
        <v>76.031999999999982</v>
      </c>
      <c r="P29" s="266"/>
      <c r="Q29" s="88">
        <f t="shared" si="0"/>
        <v>1122.9119999999998</v>
      </c>
      <c r="R29" s="657">
        <v>3899</v>
      </c>
      <c r="S29" s="267">
        <v>371.33499999999987</v>
      </c>
      <c r="T29" s="745" t="s">
        <v>583</v>
      </c>
      <c r="V29" s="953">
        <f>IF($V$2&lt;4,SUMIFS(РегСкидка!$C$3:$C$619,РегСкидка!$D$3:$D$619,INDEX('Доставка по областям'!$G$2:$G$90,'ФАСАД Рязань'!$Q$5),РегСкидка!$B$3:$B$619,T29,РегСкидка!$E$3:$E$619,$V$7)/100*IF(OR($V$3=1,$V$3=2,$V$3=3,$V$3=4),1,0),0)</f>
        <v>0</v>
      </c>
      <c r="W29" s="1230"/>
      <c r="X29" s="4"/>
      <c r="Y29" s="82"/>
      <c r="AA29" s="2"/>
    </row>
    <row r="30" spans="1:28" ht="20.100000000000001" customHeight="1" thickBot="1" x14ac:dyDescent="0.3">
      <c r="A30" s="1246"/>
      <c r="B30" s="203">
        <v>1200</v>
      </c>
      <c r="C30" s="204">
        <v>600</v>
      </c>
      <c r="D30" s="209">
        <v>110</v>
      </c>
      <c r="E30" s="238" t="s">
        <v>339</v>
      </c>
      <c r="F30" s="263">
        <v>111.11111111111111</v>
      </c>
      <c r="G30" s="263">
        <v>16.701405590294481</v>
      </c>
      <c r="H30" s="264" t="s">
        <v>250</v>
      </c>
      <c r="I30" s="177">
        <f>IF(E30="C",ROUNDUP(10000/90/ФасадDDP!O30,0)*ФасадDDP!O30," ")</f>
        <v>113.09760000000001</v>
      </c>
      <c r="J30" s="97">
        <v>3</v>
      </c>
      <c r="K30" s="168">
        <v>2.16</v>
      </c>
      <c r="L30" s="126">
        <v>0.23760000000000001</v>
      </c>
      <c r="M30" s="97">
        <v>28</v>
      </c>
      <c r="N30" s="126">
        <v>6.6528</v>
      </c>
      <c r="O30" s="227">
        <v>73.180800000000005</v>
      </c>
      <c r="P30" s="266"/>
      <c r="Q30" s="88">
        <f t="shared" si="0"/>
        <v>926.40240000000006</v>
      </c>
      <c r="R30" s="657">
        <v>3899</v>
      </c>
      <c r="S30" s="206">
        <v>408.46849999999989</v>
      </c>
      <c r="T30" s="745" t="s">
        <v>583</v>
      </c>
      <c r="V30" s="953">
        <f>IF($V$2&lt;4,SUMIFS(РегСкидка!$C$3:$C$619,РегСкидка!$D$3:$D$619,INDEX('Доставка по областям'!$G$2:$G$90,'ФАСАД Рязань'!$Q$5),РегСкидка!$B$3:$B$619,T30,РегСкидка!$E$3:$E$619,$V$7)/100*IF(OR($V$3=1,$V$3=2,$V$3=3,$V$3=4),1,0),0)</f>
        <v>0</v>
      </c>
      <c r="W30" s="1230"/>
      <c r="X30" s="4"/>
      <c r="Y30" s="82"/>
      <c r="Z30" s="82"/>
      <c r="AA30" s="2"/>
    </row>
    <row r="31" spans="1:28" ht="20.100000000000001" customHeight="1" thickBot="1" x14ac:dyDescent="0.3">
      <c r="A31" s="1246"/>
      <c r="B31" s="203">
        <v>1200</v>
      </c>
      <c r="C31" s="204">
        <v>600</v>
      </c>
      <c r="D31" s="209">
        <v>120</v>
      </c>
      <c r="E31" s="238" t="s">
        <v>339</v>
      </c>
      <c r="F31" s="263">
        <v>111.11111111111111</v>
      </c>
      <c r="G31" s="263">
        <v>17.861225422953819</v>
      </c>
      <c r="H31" s="264" t="s">
        <v>153</v>
      </c>
      <c r="I31" s="177">
        <f>IF(E31="C",ROUNDUP(10000/90/ФасадDDP!O31,0)*ФасадDDP!O31," ")</f>
        <v>117.50399999999999</v>
      </c>
      <c r="J31" s="97">
        <v>3</v>
      </c>
      <c r="K31" s="168">
        <v>2.16</v>
      </c>
      <c r="L31" s="126">
        <v>0.25919999999999999</v>
      </c>
      <c r="M31" s="97">
        <v>24</v>
      </c>
      <c r="N31" s="126">
        <v>6.2207999999999997</v>
      </c>
      <c r="O31" s="227">
        <v>68.428799999999995</v>
      </c>
      <c r="P31" s="266"/>
      <c r="Q31" s="88">
        <f t="shared" si="0"/>
        <v>1010.6207999999999</v>
      </c>
      <c r="R31" s="657">
        <v>3899</v>
      </c>
      <c r="S31" s="267">
        <v>445.60199999999986</v>
      </c>
      <c r="T31" s="745" t="s">
        <v>583</v>
      </c>
      <c r="V31" s="953">
        <f>IF($V$2&lt;4,SUMIFS(РегСкидка!$C$3:$C$619,РегСкидка!$D$3:$D$619,INDEX('Доставка по областям'!$G$2:$G$90,'ФАСАД Рязань'!$Q$5),РегСкидка!$B$3:$B$619,T31,РегСкидка!$E$3:$E$619,$V$7)/100*IF(OR($V$3=1,$V$3=2,$V$3=3,$V$3=4),1,0),0)</f>
        <v>0</v>
      </c>
      <c r="W31" s="1230"/>
      <c r="X31" s="4"/>
      <c r="Y31" s="82"/>
      <c r="Z31" s="82"/>
      <c r="AA31" s="2"/>
    </row>
    <row r="32" spans="1:28" ht="20.100000000000001" customHeight="1" thickBot="1" x14ac:dyDescent="0.3">
      <c r="A32" s="1246"/>
      <c r="B32" s="203">
        <v>1200</v>
      </c>
      <c r="C32" s="204">
        <v>600</v>
      </c>
      <c r="D32" s="209">
        <v>130</v>
      </c>
      <c r="E32" s="238" t="s">
        <v>339</v>
      </c>
      <c r="F32" s="263">
        <v>111.11111111111111</v>
      </c>
      <c r="G32" s="263">
        <v>16.487285005803525</v>
      </c>
      <c r="H32" s="264" t="s">
        <v>251</v>
      </c>
      <c r="I32" s="177">
        <f>IF(E32="C",ROUNDUP(10000/90/ФасадDDP!O32,0)*ФасадDDP!O32," ")</f>
        <v>114.56639999999999</v>
      </c>
      <c r="J32" s="97">
        <v>2</v>
      </c>
      <c r="K32" s="168">
        <v>1.4400000000000002</v>
      </c>
      <c r="L32" s="255">
        <v>0.18720000000000001</v>
      </c>
      <c r="M32" s="127">
        <v>36</v>
      </c>
      <c r="N32" s="126">
        <v>6.7392000000000003</v>
      </c>
      <c r="O32" s="227">
        <v>74.131200000000007</v>
      </c>
      <c r="P32" s="266"/>
      <c r="Q32" s="88">
        <f t="shared" si="0"/>
        <v>729.89279999999997</v>
      </c>
      <c r="R32" s="657">
        <v>3899</v>
      </c>
      <c r="S32" s="206">
        <v>482.73549999999989</v>
      </c>
      <c r="T32" s="745" t="s">
        <v>583</v>
      </c>
      <c r="V32" s="953">
        <f>IF($V$2&lt;4,SUMIFS(РегСкидка!$C$3:$C$619,РегСкидка!$D$3:$D$619,INDEX('Доставка по областям'!$G$2:$G$90,'ФАСАД Рязань'!$Q$5),РегСкидка!$B$3:$B$619,T32,РегСкидка!$E$3:$E$619,$V$7)/100*IF(OR($V$3=1,$V$3=2,$V$3=3,$V$3=4),1,0),0)</f>
        <v>0</v>
      </c>
      <c r="W32" s="1230"/>
      <c r="X32" s="4"/>
      <c r="Y32" s="82"/>
      <c r="Z32" s="82"/>
      <c r="AA32" s="2"/>
    </row>
    <row r="33" spans="1:27" ht="20.100000000000001" customHeight="1" thickBot="1" x14ac:dyDescent="0.3">
      <c r="A33" s="1246"/>
      <c r="B33" s="203">
        <v>1200</v>
      </c>
      <c r="C33" s="204">
        <v>600</v>
      </c>
      <c r="D33" s="209">
        <v>140</v>
      </c>
      <c r="E33" s="238" t="s">
        <v>339</v>
      </c>
      <c r="F33" s="263">
        <v>111.11111111111111</v>
      </c>
      <c r="G33" s="263">
        <v>17.223324514991184</v>
      </c>
      <c r="H33" s="264" t="s">
        <v>252</v>
      </c>
      <c r="I33" s="177">
        <f>IF(E33="C",ROUNDUP(10000/90/ФасадDDP!O33,0)*ФасадDDP!O33," ")</f>
        <v>116.1216</v>
      </c>
      <c r="J33" s="97">
        <v>2</v>
      </c>
      <c r="K33" s="265">
        <v>1.4400000000000002</v>
      </c>
      <c r="L33" s="126">
        <v>0.2016</v>
      </c>
      <c r="M33" s="127">
        <v>32</v>
      </c>
      <c r="N33" s="126">
        <v>6.4512</v>
      </c>
      <c r="O33" s="227">
        <v>70.963200000000001</v>
      </c>
      <c r="P33" s="266"/>
      <c r="Q33" s="88">
        <f t="shared" si="0"/>
        <v>786.03840000000002</v>
      </c>
      <c r="R33" s="657">
        <v>3899</v>
      </c>
      <c r="S33" s="267">
        <v>519.86899999999991</v>
      </c>
      <c r="T33" s="745" t="s">
        <v>583</v>
      </c>
      <c r="V33" s="953">
        <f>IF($V$2&lt;4,SUMIFS(РегСкидка!$C$3:$C$619,РегСкидка!$D$3:$D$619,INDEX('Доставка по областям'!$G$2:$G$90,'ФАСАД Рязань'!$Q$5),РегСкидка!$B$3:$B$619,T33,РегСкидка!$E$3:$E$619,$V$7)/100*IF(OR($V$3=1,$V$3=2,$V$3=3,$V$3=4),1,0),0)</f>
        <v>0</v>
      </c>
      <c r="W33" s="1230"/>
      <c r="X33" s="4"/>
      <c r="Y33" s="82"/>
      <c r="Z33" s="82"/>
      <c r="AA33" s="2"/>
    </row>
    <row r="34" spans="1:27" ht="20.100000000000001" customHeight="1" thickBot="1" x14ac:dyDescent="0.3">
      <c r="A34" s="1246"/>
      <c r="B34" s="203">
        <v>1200</v>
      </c>
      <c r="C34" s="204">
        <v>600</v>
      </c>
      <c r="D34" s="209">
        <v>150</v>
      </c>
      <c r="E34" s="238" t="s">
        <v>339</v>
      </c>
      <c r="F34" s="263">
        <v>111.11111111111111</v>
      </c>
      <c r="G34" s="263">
        <v>16.075102880658438</v>
      </c>
      <c r="H34" s="264" t="s">
        <v>253</v>
      </c>
      <c r="I34" s="177">
        <f>IF(E34="C",ROUNDUP(10000/90/ФасадDDP!O34,0)*ФасадDDP!O34," ")</f>
        <v>117.504</v>
      </c>
      <c r="J34" s="97">
        <v>2</v>
      </c>
      <c r="K34" s="265">
        <v>1.4400000000000002</v>
      </c>
      <c r="L34" s="126">
        <v>0.216</v>
      </c>
      <c r="M34" s="127">
        <v>32</v>
      </c>
      <c r="N34" s="126">
        <v>6.9119999999999999</v>
      </c>
      <c r="O34" s="227">
        <v>76.031999999999996</v>
      </c>
      <c r="P34" s="266"/>
      <c r="Q34" s="88">
        <f t="shared" si="0"/>
        <v>842.18399999999997</v>
      </c>
      <c r="R34" s="657">
        <v>3899</v>
      </c>
      <c r="S34" s="267">
        <v>557.00249999999983</v>
      </c>
      <c r="T34" s="745" t="s">
        <v>583</v>
      </c>
      <c r="V34" s="953">
        <f>IF($V$2&lt;4,SUMIFS(РегСкидка!$C$3:$C$619,РегСкидка!$D$3:$D$619,INDEX('Доставка по областям'!$G$2:$G$90,'ФАСАД Рязань'!$Q$5),РегСкидка!$B$3:$B$619,T34,РегСкидка!$E$3:$E$619,$V$7)/100*IF(OR($V$3=1,$V$3=2,$V$3=3,$V$3=4),1,0),0)</f>
        <v>0</v>
      </c>
      <c r="W34" s="1230"/>
      <c r="X34" s="4"/>
      <c r="Y34" s="82"/>
      <c r="Z34" s="82"/>
      <c r="AA34" s="2"/>
    </row>
    <row r="35" spans="1:27" ht="20.100000000000001" customHeight="1" thickBot="1" x14ac:dyDescent="0.3">
      <c r="A35" s="1246"/>
      <c r="B35" s="203">
        <v>1200</v>
      </c>
      <c r="C35" s="204">
        <v>600</v>
      </c>
      <c r="D35" s="209">
        <v>160</v>
      </c>
      <c r="E35" s="238" t="s">
        <v>339</v>
      </c>
      <c r="F35" s="263">
        <v>111.11111111111111</v>
      </c>
      <c r="G35" s="263">
        <v>17.223324514991184</v>
      </c>
      <c r="H35" s="264" t="s">
        <v>254</v>
      </c>
      <c r="I35" s="177">
        <f>IF(E35="C",ROUNDUP(10000/90/ФасадDDP!O35,0)*ФасадDDP!O35," ")</f>
        <v>116.12159999999999</v>
      </c>
      <c r="J35" s="97">
        <v>2</v>
      </c>
      <c r="K35" s="265">
        <v>1.44</v>
      </c>
      <c r="L35" s="126">
        <v>0.23039999999999999</v>
      </c>
      <c r="M35" s="127">
        <v>28</v>
      </c>
      <c r="N35" s="126">
        <v>6.4512</v>
      </c>
      <c r="O35" s="227">
        <v>70.963200000000001</v>
      </c>
      <c r="P35" s="266"/>
      <c r="Q35" s="88">
        <f t="shared" si="0"/>
        <v>898.32960000000003</v>
      </c>
      <c r="R35" s="657">
        <v>3899</v>
      </c>
      <c r="S35" s="267">
        <v>594.13599999999985</v>
      </c>
      <c r="T35" s="745" t="s">
        <v>583</v>
      </c>
      <c r="V35" s="953">
        <f>IF($V$2&lt;4,SUMIFS(РегСкидка!$C$3:$C$619,РегСкидка!$D$3:$D$619,INDEX('Доставка по областям'!$G$2:$G$90,'ФАСАД Рязань'!$Q$5),РегСкидка!$B$3:$B$619,T35,РегСкидка!$E$3:$E$619,$V$7)/100*IF(OR($V$3=1,$V$3=2,$V$3=3,$V$3=4),1,0),0)</f>
        <v>0</v>
      </c>
      <c r="W35" s="1230"/>
      <c r="X35" s="4"/>
      <c r="Y35" s="82"/>
      <c r="Z35" s="82"/>
      <c r="AA35" s="2"/>
    </row>
    <row r="36" spans="1:27" ht="20.100000000000001" customHeight="1" thickBot="1" x14ac:dyDescent="0.3">
      <c r="A36" s="1246"/>
      <c r="B36" s="203">
        <v>1200</v>
      </c>
      <c r="C36" s="204">
        <v>600</v>
      </c>
      <c r="D36" s="209">
        <v>170</v>
      </c>
      <c r="E36" s="238" t="s">
        <v>339</v>
      </c>
      <c r="F36" s="263">
        <v>111.11111111111111</v>
      </c>
      <c r="G36" s="263">
        <v>16.210187778815229</v>
      </c>
      <c r="H36" s="264" t="s">
        <v>255</v>
      </c>
      <c r="I36" s="177">
        <f>IF(E36="C",ROUNDUP(10000/90/ФасадDDP!O36,0)*ФасадDDP!O36," ")</f>
        <v>116.5248</v>
      </c>
      <c r="J36" s="97">
        <v>2</v>
      </c>
      <c r="K36" s="265">
        <v>1.44</v>
      </c>
      <c r="L36" s="126">
        <v>0.24479999999999999</v>
      </c>
      <c r="M36" s="127">
        <v>28</v>
      </c>
      <c r="N36" s="126">
        <v>6.8544</v>
      </c>
      <c r="O36" s="227">
        <v>75.398399999999995</v>
      </c>
      <c r="P36" s="266"/>
      <c r="Q36" s="88">
        <f t="shared" si="0"/>
        <v>954.47519999999997</v>
      </c>
      <c r="R36" s="657">
        <v>3899</v>
      </c>
      <c r="S36" s="315">
        <v>631.26949999999988</v>
      </c>
      <c r="T36" s="745" t="s">
        <v>583</v>
      </c>
      <c r="V36" s="953">
        <f>IF($V$2&lt;4,SUMIFS(РегСкидка!$C$3:$C$619,РегСкидка!$D$3:$D$619,INDEX('Доставка по областям'!$G$2:$G$90,'ФАСАД Рязань'!$Q$5),РегСкидка!$B$3:$B$619,T36,РегСкидка!$E$3:$E$619,$V$7)/100*IF(OR($V$3=1,$V$3=2,$V$3=3,$V$3=4),1,0),0)</f>
        <v>0</v>
      </c>
      <c r="W36" s="1230"/>
      <c r="X36" s="4"/>
      <c r="Y36" s="82"/>
      <c r="Z36" s="82"/>
      <c r="AA36" s="2"/>
    </row>
    <row r="37" spans="1:27" ht="20.100000000000001" customHeight="1" thickBot="1" x14ac:dyDescent="0.3">
      <c r="A37" s="1246"/>
      <c r="B37" s="203">
        <v>1200</v>
      </c>
      <c r="C37" s="204">
        <v>600</v>
      </c>
      <c r="D37" s="209">
        <v>180</v>
      </c>
      <c r="E37" s="238" t="s">
        <v>339</v>
      </c>
      <c r="F37" s="263">
        <v>111.11111111111111</v>
      </c>
      <c r="G37" s="263">
        <v>17.861225422953819</v>
      </c>
      <c r="H37" s="264" t="s">
        <v>256</v>
      </c>
      <c r="I37" s="177">
        <f>IF(E37="C",ROUNDUP(10000/90/ФасадDDP!O37,0)*ФасадDDP!O37," ")</f>
        <v>111.97439999999999</v>
      </c>
      <c r="J37" s="97">
        <v>2</v>
      </c>
      <c r="K37" s="265">
        <v>1.44</v>
      </c>
      <c r="L37" s="126">
        <v>0.25919999999999999</v>
      </c>
      <c r="M37" s="127">
        <v>24</v>
      </c>
      <c r="N37" s="126">
        <v>6.2207999999999997</v>
      </c>
      <c r="O37" s="227">
        <v>68.428799999999995</v>
      </c>
      <c r="P37" s="266"/>
      <c r="Q37" s="88">
        <f t="shared" si="0"/>
        <v>1010.6207999999999</v>
      </c>
      <c r="R37" s="657">
        <v>3899</v>
      </c>
      <c r="S37" s="267">
        <v>668.40299999999979</v>
      </c>
      <c r="T37" s="745" t="s">
        <v>583</v>
      </c>
      <c r="V37" s="953">
        <f>IF($V$2&lt;4,SUMIFS(РегСкидка!$C$3:$C$619,РегСкидка!$D$3:$D$619,INDEX('Доставка по областям'!$G$2:$G$90,'ФАСАД Рязань'!$Q$5),РегСкидка!$B$3:$B$619,T37,РегСкидка!$E$3:$E$619,$V$7)/100*IF(OR($V$3=1,$V$3=2,$V$3=3,$V$3=4),1,0),0)</f>
        <v>0</v>
      </c>
      <c r="W37" s="1230"/>
      <c r="X37" s="4"/>
      <c r="Y37" s="82"/>
      <c r="Z37" s="82"/>
      <c r="AA37" s="2"/>
    </row>
    <row r="38" spans="1:27" ht="20.100000000000001" customHeight="1" thickBot="1" x14ac:dyDescent="0.3">
      <c r="A38" s="1246"/>
      <c r="B38" s="203">
        <v>1200</v>
      </c>
      <c r="C38" s="204">
        <v>600</v>
      </c>
      <c r="D38" s="209">
        <v>190</v>
      </c>
      <c r="E38" s="238" t="s">
        <v>339</v>
      </c>
      <c r="F38" s="263">
        <v>111.11111111111111</v>
      </c>
      <c r="G38" s="263">
        <v>16.921160927008881</v>
      </c>
      <c r="H38" s="264" t="s">
        <v>257</v>
      </c>
      <c r="I38" s="177">
        <f>IF(E38="C",ROUNDUP(10000/90/ФасадDDP!O38,0)*ФасадDDP!O38," ")</f>
        <v>111.62879999999998</v>
      </c>
      <c r="J38" s="97">
        <v>2</v>
      </c>
      <c r="K38" s="265">
        <v>1.4400000000000002</v>
      </c>
      <c r="L38" s="126">
        <v>0.27360000000000001</v>
      </c>
      <c r="M38" s="127">
        <v>24</v>
      </c>
      <c r="N38" s="126">
        <v>6.5663999999999998</v>
      </c>
      <c r="O38" s="227">
        <v>72.230400000000003</v>
      </c>
      <c r="P38" s="266"/>
      <c r="Q38" s="88">
        <f t="shared" si="0"/>
        <v>1066.7664</v>
      </c>
      <c r="R38" s="657">
        <v>3899</v>
      </c>
      <c r="S38" s="315">
        <v>705.53649999999982</v>
      </c>
      <c r="T38" s="745" t="s">
        <v>583</v>
      </c>
      <c r="V38" s="953">
        <f>IF($V$2&lt;4,SUMIFS(РегСкидка!$C$3:$C$619,РегСкидка!$D$3:$D$619,INDEX('Доставка по областям'!$G$2:$G$90,'ФАСАД Рязань'!$Q$5),РегСкидка!$B$3:$B$619,T38,РегСкидка!$E$3:$E$619,$V$7)/100*IF(OR($V$3=1,$V$3=2,$V$3=3,$V$3=4),1,0),0)</f>
        <v>0</v>
      </c>
      <c r="W38" s="1230"/>
      <c r="X38" s="4"/>
      <c r="Y38" s="82"/>
      <c r="Z38" s="82"/>
      <c r="AA38" s="2"/>
    </row>
    <row r="39" spans="1:27" ht="20.100000000000001" customHeight="1" thickBot="1" x14ac:dyDescent="0.3">
      <c r="A39" s="1247"/>
      <c r="B39" s="240">
        <v>1200</v>
      </c>
      <c r="C39" s="241">
        <v>600</v>
      </c>
      <c r="D39" s="242">
        <v>200</v>
      </c>
      <c r="E39" s="238" t="s">
        <v>339</v>
      </c>
      <c r="F39" s="289">
        <v>111.11111111111111</v>
      </c>
      <c r="G39" s="289">
        <v>16.075102880658438</v>
      </c>
      <c r="H39" s="317" t="s">
        <v>258</v>
      </c>
      <c r="I39" s="445">
        <f>IF(E39="C",ROUNDUP(10000/90/ФасадDDP!O39,0)*ФасадDDP!O39," ")</f>
        <v>117.50399999999999</v>
      </c>
      <c r="J39" s="306">
        <v>2</v>
      </c>
      <c r="K39" s="307">
        <v>1.44</v>
      </c>
      <c r="L39" s="129">
        <v>0.28799999999999998</v>
      </c>
      <c r="M39" s="130">
        <v>24</v>
      </c>
      <c r="N39" s="129">
        <v>6.911999999999999</v>
      </c>
      <c r="O39" s="260">
        <v>76.031999999999982</v>
      </c>
      <c r="P39" s="308"/>
      <c r="Q39" s="479">
        <f t="shared" si="0"/>
        <v>1122.9119999999998</v>
      </c>
      <c r="R39" s="657">
        <v>3899</v>
      </c>
      <c r="S39" s="318">
        <v>742.66999999999973</v>
      </c>
      <c r="T39" s="745" t="s">
        <v>583</v>
      </c>
      <c r="V39" s="953">
        <f>IF($V$2&lt;4,SUMIFS(РегСкидка!$C$3:$C$619,РегСкидка!$D$3:$D$619,INDEX('Доставка по областям'!$G$2:$G$90,'ФАСАД Рязань'!$Q$5),РегСкидка!$B$3:$B$619,T39,РегСкидка!$E$3:$E$619,$V$7)/100*IF(OR($V$3=1,$V$3=2,$V$3=3,$V$3=4),1,0),0)</f>
        <v>0</v>
      </c>
      <c r="W39" s="1230"/>
      <c r="X39" s="4"/>
      <c r="Y39" s="82"/>
      <c r="Z39" s="82"/>
      <c r="AA39" s="2"/>
    </row>
    <row r="40" spans="1:27" ht="20.100000000000001" customHeight="1" thickBot="1" x14ac:dyDescent="0.3">
      <c r="A40" s="35" t="s">
        <v>12</v>
      </c>
      <c r="B40" s="252">
        <v>1200</v>
      </c>
      <c r="C40" s="250">
        <v>600</v>
      </c>
      <c r="D40" s="251">
        <v>50</v>
      </c>
      <c r="E40" s="238" t="s">
        <v>339</v>
      </c>
      <c r="F40" s="319"/>
      <c r="G40" s="319">
        <v>0</v>
      </c>
      <c r="H40" s="310" t="s">
        <v>164</v>
      </c>
      <c r="I40" s="178">
        <f>IF(E40="C",ROUNDUP(10000/100/ФасадDDP!O40,0)*ФасадDDP!O40," ")</f>
        <v>103.67999999999999</v>
      </c>
      <c r="J40" s="311">
        <v>6</v>
      </c>
      <c r="K40" s="265">
        <v>4.32</v>
      </c>
      <c r="L40" s="132">
        <v>0.216</v>
      </c>
      <c r="M40" s="133">
        <v>32</v>
      </c>
      <c r="N40" s="228">
        <v>6.9119999999999999</v>
      </c>
      <c r="O40" s="226">
        <v>76.031999999999996</v>
      </c>
      <c r="P40" s="321"/>
      <c r="Q40" s="88">
        <f>L40*R40</f>
        <v>927.72</v>
      </c>
      <c r="R40" s="656">
        <v>4295</v>
      </c>
      <c r="S40" s="286">
        <v>203.60749999999996</v>
      </c>
      <c r="T40" s="745" t="s">
        <v>583</v>
      </c>
      <c r="V40" s="953">
        <f>IF($V$2&lt;4,SUMIFS(РегСкидка!$C$3:$C$619,РегСкидка!$D$3:$D$619,INDEX('Доставка по областям'!$G$2:$G$90,'ФАСАД Рязань'!$Q$5),РегСкидка!$B$3:$B$619,T40,РегСкидка!$E$3:$E$619,$V$7)/100*IF(OR($V$3=1,$V$3=2,$V$3=3,$V$3=4),1,0),0)</f>
        <v>0</v>
      </c>
      <c r="W40" s="1230"/>
      <c r="X40" s="4"/>
      <c r="Y40" s="82"/>
      <c r="AA40" s="2"/>
    </row>
    <row r="41" spans="1:27" ht="20.100000000000001" customHeight="1" thickBot="1" x14ac:dyDescent="0.3">
      <c r="A41" s="1246" t="s">
        <v>27</v>
      </c>
      <c r="B41" s="203">
        <v>1200</v>
      </c>
      <c r="C41" s="204">
        <v>600</v>
      </c>
      <c r="D41" s="209">
        <v>60</v>
      </c>
      <c r="E41" s="238" t="s">
        <v>339</v>
      </c>
      <c r="F41" s="263">
        <v>100</v>
      </c>
      <c r="G41" s="263">
        <v>14.467592592592593</v>
      </c>
      <c r="H41" s="264" t="s">
        <v>165</v>
      </c>
      <c r="I41" s="177">
        <f>IF(E41="C",ROUNDUP(10000/100/ФасадDDP!O41,0)*ФасадDDP!O41," ")</f>
        <v>103.67999999999999</v>
      </c>
      <c r="J41" s="97">
        <v>5</v>
      </c>
      <c r="K41" s="265">
        <v>3.6</v>
      </c>
      <c r="L41" s="126">
        <v>0.216</v>
      </c>
      <c r="M41" s="97">
        <v>32</v>
      </c>
      <c r="N41" s="166">
        <v>6.9119999999999999</v>
      </c>
      <c r="O41" s="227">
        <v>76.031999999999996</v>
      </c>
      <c r="P41" s="266"/>
      <c r="Q41" s="88">
        <f t="shared" si="0"/>
        <v>927.72</v>
      </c>
      <c r="R41" s="657">
        <v>4295</v>
      </c>
      <c r="S41" s="276">
        <v>244.32899999999998</v>
      </c>
      <c r="T41" s="745" t="s">
        <v>583</v>
      </c>
      <c r="V41" s="953">
        <f>IF($V$2&lt;4,SUMIFS(РегСкидка!$C$3:$C$619,РегСкидка!$D$3:$D$619,INDEX('Доставка по областям'!$G$2:$G$90,'ФАСАД Рязань'!$Q$5),РегСкидка!$B$3:$B$619,T41,РегСкидка!$E$3:$E$619,$V$7)/100*IF(OR($V$3=1,$V$3=2,$V$3=3,$V$3=4),1,0),0)</f>
        <v>0</v>
      </c>
      <c r="W41" s="1230"/>
      <c r="X41" s="4"/>
      <c r="Y41" s="82"/>
      <c r="Z41" s="82"/>
      <c r="AA41" s="2"/>
    </row>
    <row r="42" spans="1:27" ht="20.100000000000001" customHeight="1" thickBot="1" x14ac:dyDescent="0.3">
      <c r="A42" s="1246"/>
      <c r="B42" s="203">
        <v>1200</v>
      </c>
      <c r="C42" s="204">
        <v>600</v>
      </c>
      <c r="D42" s="209">
        <v>70</v>
      </c>
      <c r="E42" s="238" t="s">
        <v>339</v>
      </c>
      <c r="F42" s="263">
        <v>100</v>
      </c>
      <c r="G42" s="263">
        <v>15.500992063492063</v>
      </c>
      <c r="H42" s="264" t="s">
        <v>166</v>
      </c>
      <c r="I42" s="177">
        <f>IF(E42="C",ROUNDUP(10000/100/ФасадDDP!O42,0)*ФасадDDP!O42," ")</f>
        <v>103.2192</v>
      </c>
      <c r="J42" s="97">
        <v>4</v>
      </c>
      <c r="K42" s="265">
        <v>2.8800000000000003</v>
      </c>
      <c r="L42" s="126">
        <v>0.2016</v>
      </c>
      <c r="M42" s="97">
        <v>32</v>
      </c>
      <c r="N42" s="325">
        <v>6.4512</v>
      </c>
      <c r="O42" s="227">
        <v>70.963200000000001</v>
      </c>
      <c r="P42" s="266"/>
      <c r="Q42" s="88">
        <f t="shared" si="0"/>
        <v>865.87199999999996</v>
      </c>
      <c r="R42" s="657">
        <v>4295</v>
      </c>
      <c r="S42" s="267">
        <v>285.0505</v>
      </c>
      <c r="T42" s="745" t="s">
        <v>583</v>
      </c>
      <c r="V42" s="953">
        <f>IF($V$2&lt;4,SUMIFS(РегСкидка!$C$3:$C$619,РегСкидка!$D$3:$D$619,INDEX('Доставка по областям'!$G$2:$G$90,'ФАСАД Рязань'!$Q$5),РегСкидка!$B$3:$B$619,T42,РегСкидка!$E$3:$E$619,$V$7)/100*IF(OR($V$3=1,$V$3=2,$V$3=3,$V$3=4),1,0),0)</f>
        <v>0</v>
      </c>
      <c r="W42" s="1230"/>
      <c r="X42" s="4"/>
      <c r="Y42" s="82"/>
      <c r="Z42" s="82"/>
      <c r="AA42" s="2"/>
    </row>
    <row r="43" spans="1:27" ht="20.100000000000001" customHeight="1" thickBot="1" x14ac:dyDescent="0.3">
      <c r="A43" s="1246"/>
      <c r="B43" s="12">
        <v>1200</v>
      </c>
      <c r="C43" s="13">
        <v>600</v>
      </c>
      <c r="D43" s="14">
        <v>80</v>
      </c>
      <c r="E43" s="238" t="s">
        <v>339</v>
      </c>
      <c r="F43" s="107">
        <v>100</v>
      </c>
      <c r="G43" s="116">
        <v>14.467592592592592</v>
      </c>
      <c r="H43" s="219" t="s">
        <v>167</v>
      </c>
      <c r="I43" s="177">
        <f>IF(E43="C",ROUNDUP(10000/100/ФасадDDP!O43,0)*ФасадDDP!O43," ")</f>
        <v>103.68</v>
      </c>
      <c r="J43" s="47">
        <v>3</v>
      </c>
      <c r="K43" s="188">
        <v>2.16</v>
      </c>
      <c r="L43" s="182">
        <v>0.17280000000000001</v>
      </c>
      <c r="M43" s="95">
        <v>40</v>
      </c>
      <c r="N43" s="182">
        <v>6.9120000000000008</v>
      </c>
      <c r="O43" s="192">
        <v>76.032000000000011</v>
      </c>
      <c r="P43" s="48"/>
      <c r="Q43" s="88">
        <f t="shared" si="0"/>
        <v>742.17600000000004</v>
      </c>
      <c r="R43" s="657">
        <v>4295</v>
      </c>
      <c r="S43" s="38">
        <v>325.77199999999999</v>
      </c>
      <c r="T43" s="745" t="s">
        <v>583</v>
      </c>
      <c r="V43" s="953">
        <f>IF($V$2&lt;4,SUMIFS(РегСкидка!$C$3:$C$619,РегСкидка!$D$3:$D$619,INDEX('Доставка по областям'!$G$2:$G$90,'ФАСАД Рязань'!$Q$5),РегСкидка!$B$3:$B$619,T43,РегСкидка!$E$3:$E$619,$V$7)/100*IF(OR($V$3=1,$V$3=2,$V$3=3,$V$3=4),1,0),0)</f>
        <v>0</v>
      </c>
      <c r="W43" s="1230"/>
      <c r="X43" s="4"/>
      <c r="Y43" s="82"/>
      <c r="Z43" s="82"/>
      <c r="AA43" s="2"/>
    </row>
    <row r="44" spans="1:27" ht="20.100000000000001" customHeight="1" thickBot="1" x14ac:dyDescent="0.3">
      <c r="A44" s="1246"/>
      <c r="B44" s="12">
        <v>1200</v>
      </c>
      <c r="C44" s="13">
        <v>600</v>
      </c>
      <c r="D44" s="14">
        <v>90</v>
      </c>
      <c r="E44" s="238" t="s">
        <v>339</v>
      </c>
      <c r="F44" s="107">
        <v>100</v>
      </c>
      <c r="G44" s="116">
        <v>14.288980338363055</v>
      </c>
      <c r="H44" s="219" t="s">
        <v>168</v>
      </c>
      <c r="I44" s="177">
        <f>IF(E44="C",ROUNDUP(10000/100/ФасадDDP!O44,0)*ФасадDDP!O44," ")</f>
        <v>105.75360000000001</v>
      </c>
      <c r="J44" s="47">
        <v>3</v>
      </c>
      <c r="K44" s="188">
        <v>2.16</v>
      </c>
      <c r="L44" s="182">
        <v>0.19439999999999999</v>
      </c>
      <c r="M44" s="95">
        <v>36</v>
      </c>
      <c r="N44" s="182">
        <v>6.9983999999999993</v>
      </c>
      <c r="O44" s="192">
        <v>76.982399999999998</v>
      </c>
      <c r="P44" s="48"/>
      <c r="Q44" s="88">
        <f t="shared" si="0"/>
        <v>834.94799999999998</v>
      </c>
      <c r="R44" s="657">
        <v>4295</v>
      </c>
      <c r="S44" s="104">
        <v>366.49349999999993</v>
      </c>
      <c r="T44" s="745" t="s">
        <v>583</v>
      </c>
      <c r="V44" s="953">
        <f>IF($V$2&lt;4,SUMIFS(РегСкидка!$C$3:$C$619,РегСкидка!$D$3:$D$619,INDEX('Доставка по областям'!$G$2:$G$90,'ФАСАД Рязань'!$Q$5),РегСкидка!$B$3:$B$619,T44,РегСкидка!$E$3:$E$619,$V$7)/100*IF(OR($V$3=1,$V$3=2,$V$3=3,$V$3=4),1,0),0)</f>
        <v>0</v>
      </c>
      <c r="W44" s="1230"/>
      <c r="X44" s="4"/>
      <c r="Y44" s="82"/>
      <c r="Z44" s="82"/>
      <c r="AA44" s="2"/>
    </row>
    <row r="45" spans="1:27" ht="20.100000000000001" customHeight="1" thickBot="1" x14ac:dyDescent="0.3">
      <c r="A45" s="1246"/>
      <c r="B45" s="203">
        <v>1200</v>
      </c>
      <c r="C45" s="204">
        <v>600</v>
      </c>
      <c r="D45" s="209">
        <v>100</v>
      </c>
      <c r="E45" s="238" t="s">
        <v>339</v>
      </c>
      <c r="F45" s="263"/>
      <c r="G45" s="263">
        <v>0</v>
      </c>
      <c r="H45" s="264" t="s">
        <v>169</v>
      </c>
      <c r="I45" s="177">
        <f>IF(E45="C",ROUNDUP(10000/100/ФасадDDP!O45,0)*ФасадDDP!O45," ")</f>
        <v>103.67999999999999</v>
      </c>
      <c r="J45" s="97">
        <v>3</v>
      </c>
      <c r="K45" s="265">
        <v>2.16</v>
      </c>
      <c r="L45" s="126">
        <v>0.216</v>
      </c>
      <c r="M45" s="127">
        <v>32</v>
      </c>
      <c r="N45" s="126">
        <v>6.9119999999999999</v>
      </c>
      <c r="O45" s="227">
        <v>76.031999999999996</v>
      </c>
      <c r="P45" s="266"/>
      <c r="Q45" s="88">
        <f t="shared" si="0"/>
        <v>927.72</v>
      </c>
      <c r="R45" s="657">
        <v>4295</v>
      </c>
      <c r="S45" s="267">
        <v>407.21499999999992</v>
      </c>
      <c r="T45" s="745" t="s">
        <v>583</v>
      </c>
      <c r="V45" s="953">
        <f>IF($V$2&lt;4,SUMIFS(РегСкидка!$C$3:$C$619,РегСкидка!$D$3:$D$619,INDEX('Доставка по областям'!$G$2:$G$90,'ФАСАД Рязань'!$Q$5),РегСкидка!$B$3:$B$619,T45,РегСкидка!$E$3:$E$619,$V$7)/100*IF(OR($V$3=1,$V$3=2,$V$3=3,$V$3=4),1,0),0)</f>
        <v>0</v>
      </c>
      <c r="W45" s="1230"/>
      <c r="X45" s="4"/>
      <c r="Y45" s="82"/>
      <c r="AA45" s="2"/>
    </row>
    <row r="46" spans="1:27" ht="20.100000000000001" customHeight="1" thickBot="1" x14ac:dyDescent="0.3">
      <c r="A46" s="1246"/>
      <c r="B46" s="12">
        <v>1200</v>
      </c>
      <c r="C46" s="13">
        <v>600</v>
      </c>
      <c r="D46" s="14">
        <v>110</v>
      </c>
      <c r="E46" s="238" t="s">
        <v>339</v>
      </c>
      <c r="F46" s="107">
        <v>100</v>
      </c>
      <c r="G46" s="116">
        <v>15.782828282828282</v>
      </c>
      <c r="H46" s="219" t="s">
        <v>170</v>
      </c>
      <c r="I46" s="177">
        <f>IF(E46="C",ROUNDUP(10000/100/ФасадDDP!O46,0)*ФасадDDP!O46," ")</f>
        <v>106.44480000000001</v>
      </c>
      <c r="J46" s="47">
        <v>2</v>
      </c>
      <c r="K46" s="188">
        <v>1.4400000000000002</v>
      </c>
      <c r="L46" s="182">
        <v>0.15840000000000001</v>
      </c>
      <c r="M46" s="95">
        <v>40</v>
      </c>
      <c r="N46" s="182">
        <v>6.3360000000000003</v>
      </c>
      <c r="O46" s="192">
        <v>69.695999999999998</v>
      </c>
      <c r="P46" s="48"/>
      <c r="Q46" s="88">
        <f t="shared" si="0"/>
        <v>680.32800000000009</v>
      </c>
      <c r="R46" s="657">
        <v>4295</v>
      </c>
      <c r="S46" s="104">
        <v>447.93649999999997</v>
      </c>
      <c r="T46" s="745" t="s">
        <v>583</v>
      </c>
      <c r="V46" s="953">
        <f>IF($V$2&lt;4,SUMIFS(РегСкидка!$C$3:$C$619,РегСкидка!$D$3:$D$619,INDEX('Доставка по областям'!$G$2:$G$90,'ФАСАД Рязань'!$Q$5),РегСкидка!$B$3:$B$619,T46,РегСкидка!$E$3:$E$619,$V$7)/100*IF(OR($V$3=1,$V$3=2,$V$3=3,$V$3=4),1,0),0)</f>
        <v>0</v>
      </c>
      <c r="W46" s="1230"/>
      <c r="X46" s="4"/>
      <c r="Y46" s="82"/>
      <c r="Z46" s="82"/>
      <c r="AA46" s="2"/>
    </row>
    <row r="47" spans="1:27" ht="20.100000000000001" customHeight="1" thickBot="1" x14ac:dyDescent="0.3">
      <c r="A47" s="1246"/>
      <c r="B47" s="12">
        <v>1200</v>
      </c>
      <c r="C47" s="13">
        <v>600</v>
      </c>
      <c r="D47" s="14">
        <v>120</v>
      </c>
      <c r="E47" s="238" t="s">
        <v>339</v>
      </c>
      <c r="F47" s="107">
        <v>100</v>
      </c>
      <c r="G47" s="116">
        <v>14.467592592592592</v>
      </c>
      <c r="H47" s="219" t="s">
        <v>247</v>
      </c>
      <c r="I47" s="177">
        <f>IF(E47="C",ROUNDUP(10000/100/ФасадDDP!O47,0)*ФасадDDP!O47," ")</f>
        <v>103.67999999999998</v>
      </c>
      <c r="J47" s="47">
        <v>2</v>
      </c>
      <c r="K47" s="188">
        <v>1.4400000000000002</v>
      </c>
      <c r="L47" s="182">
        <v>0.17280000000000001</v>
      </c>
      <c r="M47" s="95">
        <v>40</v>
      </c>
      <c r="N47" s="182">
        <v>6.9120000000000008</v>
      </c>
      <c r="O47" s="192">
        <v>76.032000000000011</v>
      </c>
      <c r="P47" s="48"/>
      <c r="Q47" s="88">
        <f t="shared" si="0"/>
        <v>742.17600000000004</v>
      </c>
      <c r="R47" s="657">
        <v>4295</v>
      </c>
      <c r="S47" s="105">
        <v>488.65799999999996</v>
      </c>
      <c r="T47" s="745" t="s">
        <v>583</v>
      </c>
      <c r="V47" s="953">
        <f>IF($V$2&lt;4,SUMIFS(РегСкидка!$C$3:$C$619,РегСкидка!$D$3:$D$619,INDEX('Доставка по областям'!$G$2:$G$90,'ФАСАД Рязань'!$Q$5),РегСкидка!$B$3:$B$619,T47,РегСкидка!$E$3:$E$619,$V$7)/100*IF(OR($V$3=1,$V$3=2,$V$3=3,$V$3=4),1,0),0)</f>
        <v>0</v>
      </c>
      <c r="W47" s="1230"/>
      <c r="X47" s="4"/>
      <c r="Y47" s="82"/>
      <c r="Z47" s="82"/>
      <c r="AA47" s="2"/>
    </row>
    <row r="48" spans="1:27" ht="20.100000000000001" customHeight="1" thickBot="1" x14ac:dyDescent="0.3">
      <c r="A48" s="1246"/>
      <c r="B48" s="12">
        <v>1200</v>
      </c>
      <c r="C48" s="13">
        <v>600</v>
      </c>
      <c r="D48" s="14">
        <v>130</v>
      </c>
      <c r="E48" s="238" t="s">
        <v>339</v>
      </c>
      <c r="F48" s="107">
        <v>100</v>
      </c>
      <c r="G48" s="116">
        <v>14.83855650522317</v>
      </c>
      <c r="H48" s="219" t="s">
        <v>171</v>
      </c>
      <c r="I48" s="177">
        <f>IF(E48="C",ROUNDUP(10000/100/ФасадDDP!O48,0)*ФасадDDP!O48," ")</f>
        <v>101.08799999999999</v>
      </c>
      <c r="J48" s="47">
        <v>2</v>
      </c>
      <c r="K48" s="188">
        <v>1.4400000000000002</v>
      </c>
      <c r="L48" s="182">
        <v>0.18720000000000001</v>
      </c>
      <c r="M48" s="95">
        <v>36</v>
      </c>
      <c r="N48" s="182">
        <v>6.7392000000000003</v>
      </c>
      <c r="O48" s="192">
        <v>74.131200000000007</v>
      </c>
      <c r="P48" s="48"/>
      <c r="Q48" s="88">
        <f t="shared" si="0"/>
        <v>804.024</v>
      </c>
      <c r="R48" s="657">
        <v>4295</v>
      </c>
      <c r="S48" s="103">
        <v>529.37950000000001</v>
      </c>
      <c r="T48" s="745" t="s">
        <v>583</v>
      </c>
      <c r="V48" s="953">
        <f>IF($V$2&lt;4,SUMIFS(РегСкидка!$C$3:$C$619,РегСкидка!$D$3:$D$619,INDEX('Доставка по областям'!$G$2:$G$90,'ФАСАД Рязань'!$Q$5),РегСкидка!$B$3:$B$619,T48,РегСкидка!$E$3:$E$619,$V$7)/100*IF(OR($V$3=1,$V$3=2,$V$3=3,$V$3=4),1,0),0)</f>
        <v>0</v>
      </c>
      <c r="W48" s="1230"/>
      <c r="X48" s="4"/>
      <c r="Y48" s="82"/>
      <c r="Z48" s="82"/>
      <c r="AA48" s="2"/>
    </row>
    <row r="49" spans="1:27" ht="20.100000000000001" customHeight="1" thickBot="1" x14ac:dyDescent="0.3">
      <c r="A49" s="1246"/>
      <c r="B49" s="12">
        <v>1200</v>
      </c>
      <c r="C49" s="13">
        <v>600</v>
      </c>
      <c r="D49" s="14">
        <v>140</v>
      </c>
      <c r="E49" s="238" t="s">
        <v>339</v>
      </c>
      <c r="F49" s="107">
        <v>100</v>
      </c>
      <c r="G49" s="116">
        <v>15.500992063492063</v>
      </c>
      <c r="H49" s="219" t="s">
        <v>172</v>
      </c>
      <c r="I49" s="177">
        <f>IF(E49="C",ROUNDUP(10000/100/ФасадDDP!O49,0)*ФасадDDP!O49," ")</f>
        <v>103.2192</v>
      </c>
      <c r="J49" s="47">
        <v>2</v>
      </c>
      <c r="K49" s="188">
        <v>1.4400000000000002</v>
      </c>
      <c r="L49" s="182">
        <v>0.2016</v>
      </c>
      <c r="M49" s="95">
        <v>32</v>
      </c>
      <c r="N49" s="182">
        <v>6.4512</v>
      </c>
      <c r="O49" s="192">
        <v>70.963200000000001</v>
      </c>
      <c r="P49" s="48"/>
      <c r="Q49" s="88">
        <f t="shared" si="0"/>
        <v>865.87199999999996</v>
      </c>
      <c r="R49" s="657">
        <v>4295</v>
      </c>
      <c r="S49" s="38">
        <v>570.101</v>
      </c>
      <c r="T49" s="745" t="s">
        <v>583</v>
      </c>
      <c r="V49" s="953">
        <f>IF($V$2&lt;4,SUMIFS(РегСкидка!$C$3:$C$619,РегСкидка!$D$3:$D$619,INDEX('Доставка по областям'!$G$2:$G$90,'ФАСАД Рязань'!$Q$5),РегСкидка!$B$3:$B$619,T49,РегСкидка!$E$3:$E$619,$V$7)/100*IF(OR($V$3=1,$V$3=2,$V$3=3,$V$3=4),1,0),0)</f>
        <v>0</v>
      </c>
      <c r="W49" s="1230"/>
      <c r="X49" s="4"/>
      <c r="Y49" s="82"/>
      <c r="Z49" s="82"/>
      <c r="AA49" s="2"/>
    </row>
    <row r="50" spans="1:27" ht="20.100000000000001" customHeight="1" thickBot="1" x14ac:dyDescent="0.3">
      <c r="A50" s="1246"/>
      <c r="B50" s="12">
        <v>1200</v>
      </c>
      <c r="C50" s="13">
        <v>600</v>
      </c>
      <c r="D50" s="14">
        <v>150</v>
      </c>
      <c r="E50" s="238" t="s">
        <v>339</v>
      </c>
      <c r="F50" s="107">
        <v>100</v>
      </c>
      <c r="G50" s="116">
        <v>14.467592592592593</v>
      </c>
      <c r="H50" s="219" t="s">
        <v>248</v>
      </c>
      <c r="I50" s="177">
        <f>IF(E50="C",ROUNDUP(10000/100/ФасадDDP!O50,0)*ФасадDDP!O50," ")</f>
        <v>103.67999999999999</v>
      </c>
      <c r="J50" s="47">
        <v>2</v>
      </c>
      <c r="K50" s="188">
        <v>1.4400000000000002</v>
      </c>
      <c r="L50" s="182">
        <v>0.216</v>
      </c>
      <c r="M50" s="95">
        <v>32</v>
      </c>
      <c r="N50" s="182">
        <v>6.9119999999999999</v>
      </c>
      <c r="O50" s="192">
        <v>76.031999999999996</v>
      </c>
      <c r="P50" s="48"/>
      <c r="Q50" s="88">
        <f t="shared" si="0"/>
        <v>927.72</v>
      </c>
      <c r="R50" s="657">
        <v>4295</v>
      </c>
      <c r="S50" s="104">
        <v>610.82249999999999</v>
      </c>
      <c r="T50" s="745" t="s">
        <v>583</v>
      </c>
      <c r="V50" s="953">
        <f>IF($V$2&lt;4,SUMIFS(РегСкидка!$C$3:$C$619,РегСкидка!$D$3:$D$619,INDEX('Доставка по областям'!$G$2:$G$90,'ФАСАД Рязань'!$Q$5),РегСкидка!$B$3:$B$619,T50,РегСкидка!$E$3:$E$619,$V$7)/100*IF(OR($V$3=1,$V$3=2,$V$3=3,$V$3=4),1,0),0)</f>
        <v>0</v>
      </c>
      <c r="W50" s="1230"/>
      <c r="X50" s="4"/>
      <c r="Y50" s="82"/>
      <c r="Z50" s="82"/>
      <c r="AA50" s="2"/>
    </row>
    <row r="51" spans="1:27" ht="20.100000000000001" customHeight="1" thickBot="1" x14ac:dyDescent="0.3">
      <c r="A51" s="1246"/>
      <c r="B51" s="12">
        <v>1200</v>
      </c>
      <c r="C51" s="13">
        <v>600</v>
      </c>
      <c r="D51" s="14">
        <v>160</v>
      </c>
      <c r="E51" s="238" t="s">
        <v>339</v>
      </c>
      <c r="F51" s="107">
        <v>100</v>
      </c>
      <c r="G51" s="116">
        <v>15.500992063492063</v>
      </c>
      <c r="H51" s="219" t="s">
        <v>173</v>
      </c>
      <c r="I51" s="177">
        <f>IF(E51="C",ROUNDUP(10000/100/ФасадDDP!O51,0)*ФасадDDP!O51," ")</f>
        <v>103.21919999999999</v>
      </c>
      <c r="J51" s="47">
        <v>2</v>
      </c>
      <c r="K51" s="188">
        <v>1.44</v>
      </c>
      <c r="L51" s="182">
        <v>0.23039999999999999</v>
      </c>
      <c r="M51" s="95">
        <v>28</v>
      </c>
      <c r="N51" s="182">
        <v>6.4512</v>
      </c>
      <c r="O51" s="192">
        <v>70.963200000000001</v>
      </c>
      <c r="P51" s="48"/>
      <c r="Q51" s="88">
        <f t="shared" si="0"/>
        <v>989.56799999999998</v>
      </c>
      <c r="R51" s="657">
        <v>4295</v>
      </c>
      <c r="S51" s="105">
        <v>651.54399999999998</v>
      </c>
      <c r="T51" s="745" t="s">
        <v>583</v>
      </c>
      <c r="V51" s="953">
        <f>IF($V$2&lt;4,SUMIFS(РегСкидка!$C$3:$C$619,РегСкидка!$D$3:$D$619,INDEX('Доставка по областям'!$G$2:$G$90,'ФАСАД Рязань'!$Q$5),РегСкидка!$B$3:$B$619,T51,РегСкидка!$E$3:$E$619,$V$7)/100*IF(OR($V$3=1,$V$3=2,$V$3=3,$V$3=4),1,0),0)</f>
        <v>0</v>
      </c>
      <c r="W51" s="1230"/>
      <c r="X51" s="4"/>
      <c r="Y51" s="82"/>
      <c r="Z51" s="82"/>
      <c r="AA51" s="2"/>
    </row>
    <row r="52" spans="1:27" ht="20.100000000000001" customHeight="1" thickBot="1" x14ac:dyDescent="0.3">
      <c r="A52" s="1246"/>
      <c r="B52" s="203">
        <v>1200</v>
      </c>
      <c r="C52" s="204">
        <v>600</v>
      </c>
      <c r="D52" s="209">
        <v>170</v>
      </c>
      <c r="E52" s="238" t="s">
        <v>339</v>
      </c>
      <c r="F52" s="263">
        <v>100</v>
      </c>
      <c r="G52" s="263">
        <v>14.589169000933706</v>
      </c>
      <c r="H52" s="264" t="s">
        <v>174</v>
      </c>
      <c r="I52" s="177">
        <f>IF(E52="C",ROUNDUP(10000/100/ФасадDDP!O52,0)*ФасадDDP!O52," ")</f>
        <v>102.816</v>
      </c>
      <c r="J52" s="97">
        <v>2</v>
      </c>
      <c r="K52" s="265">
        <v>1.44</v>
      </c>
      <c r="L52" s="126">
        <v>0.24479999999999999</v>
      </c>
      <c r="M52" s="127">
        <v>28</v>
      </c>
      <c r="N52" s="126">
        <v>6.8544</v>
      </c>
      <c r="O52" s="227">
        <v>75.398399999999995</v>
      </c>
      <c r="P52" s="266"/>
      <c r="Q52" s="88">
        <f t="shared" si="0"/>
        <v>1051.4159999999999</v>
      </c>
      <c r="R52" s="657">
        <v>4295</v>
      </c>
      <c r="S52" s="267">
        <v>692.26549999999986</v>
      </c>
      <c r="T52" s="745" t="s">
        <v>583</v>
      </c>
      <c r="V52" s="953">
        <f>IF($V$2&lt;4,SUMIFS(РегСкидка!$C$3:$C$619,РегСкидка!$D$3:$D$619,INDEX('Доставка по областям'!$G$2:$G$90,'ФАСАД Рязань'!$Q$5),РегСкидка!$B$3:$B$619,T52,РегСкидка!$E$3:$E$619,$V$7)/100*IF(OR($V$3=1,$V$3=2,$V$3=3,$V$3=4),1,0),0)</f>
        <v>0</v>
      </c>
      <c r="W52" s="1230"/>
      <c r="X52" s="4"/>
      <c r="Y52" s="82"/>
      <c r="Z52" s="82"/>
      <c r="AA52" s="2"/>
    </row>
    <row r="53" spans="1:27" ht="20.100000000000001" customHeight="1" thickBot="1" x14ac:dyDescent="0.3">
      <c r="A53" s="1246"/>
      <c r="B53" s="203">
        <v>1200</v>
      </c>
      <c r="C53" s="204">
        <v>600</v>
      </c>
      <c r="D53" s="209">
        <v>180</v>
      </c>
      <c r="E53" s="238" t="s">
        <v>339</v>
      </c>
      <c r="F53" s="263">
        <v>100</v>
      </c>
      <c r="G53" s="263">
        <v>16.075102880658438</v>
      </c>
      <c r="H53" s="264" t="s">
        <v>175</v>
      </c>
      <c r="I53" s="177">
        <f>IF(E53="C",ROUNDUP(10000/100/ФасадDDP!O53,0)*ФасадDDP!O53," ")</f>
        <v>105.75359999999999</v>
      </c>
      <c r="J53" s="97">
        <v>2</v>
      </c>
      <c r="K53" s="265">
        <v>1.44</v>
      </c>
      <c r="L53" s="126">
        <v>0.25919999999999999</v>
      </c>
      <c r="M53" s="127">
        <v>24</v>
      </c>
      <c r="N53" s="126">
        <v>6.2207999999999997</v>
      </c>
      <c r="O53" s="227">
        <v>68.428799999999995</v>
      </c>
      <c r="P53" s="266"/>
      <c r="Q53" s="88">
        <f t="shared" si="0"/>
        <v>1113.2639999999999</v>
      </c>
      <c r="R53" s="657">
        <v>4295</v>
      </c>
      <c r="S53" s="314">
        <v>732.98699999999985</v>
      </c>
      <c r="T53" s="745" t="s">
        <v>583</v>
      </c>
      <c r="V53" s="953">
        <f>IF($V$2&lt;4,SUMIFS(РегСкидка!$C$3:$C$619,РегСкидка!$D$3:$D$619,INDEX('Доставка по областям'!$G$2:$G$90,'ФАСАД Рязань'!$Q$5),РегСкидка!$B$3:$B$619,T53,РегСкидка!$E$3:$E$619,$V$7)/100*IF(OR($V$3=1,$V$3=2,$V$3=3,$V$3=4),1,0),0)</f>
        <v>0</v>
      </c>
      <c r="W53" s="1230"/>
      <c r="X53" s="4"/>
      <c r="Y53" s="82"/>
      <c r="Z53" s="82"/>
      <c r="AA53" s="2"/>
    </row>
    <row r="54" spans="1:27" ht="20.100000000000001" customHeight="1" thickBot="1" x14ac:dyDescent="0.3">
      <c r="A54" s="1246"/>
      <c r="B54" s="203">
        <v>1200</v>
      </c>
      <c r="C54" s="204">
        <v>600</v>
      </c>
      <c r="D54" s="209">
        <v>190</v>
      </c>
      <c r="E54" s="238" t="s">
        <v>339</v>
      </c>
      <c r="F54" s="263">
        <v>100</v>
      </c>
      <c r="G54" s="263">
        <v>15.229044834307993</v>
      </c>
      <c r="H54" s="264" t="s">
        <v>176</v>
      </c>
      <c r="I54" s="177">
        <f>IF(E54="C",ROUNDUP(10000/100/ФасадDDP!O54,0)*ФасадDDP!O54," ")</f>
        <v>105.06239999999998</v>
      </c>
      <c r="J54" s="97">
        <v>2</v>
      </c>
      <c r="K54" s="265">
        <v>1.4400000000000002</v>
      </c>
      <c r="L54" s="126">
        <v>0.27360000000000001</v>
      </c>
      <c r="M54" s="127">
        <v>24</v>
      </c>
      <c r="N54" s="126">
        <v>6.5663999999999998</v>
      </c>
      <c r="O54" s="227">
        <v>72.230400000000003</v>
      </c>
      <c r="P54" s="266"/>
      <c r="Q54" s="88">
        <f t="shared" si="0"/>
        <v>1175.1120000000001</v>
      </c>
      <c r="R54" s="657">
        <v>4295</v>
      </c>
      <c r="S54" s="315">
        <v>773.70849999999984</v>
      </c>
      <c r="T54" s="745" t="s">
        <v>583</v>
      </c>
      <c r="V54" s="953">
        <f>IF($V$2&lt;4,SUMIFS(РегСкидка!$C$3:$C$619,РегСкидка!$D$3:$D$619,INDEX('Доставка по областям'!$G$2:$G$90,'ФАСАД Рязань'!$Q$5),РегСкидка!$B$3:$B$619,T54,РегСкидка!$E$3:$E$619,$V$7)/100*IF(OR($V$3=1,$V$3=2,$V$3=3,$V$3=4),1,0),0)</f>
        <v>0</v>
      </c>
      <c r="W54" s="1230"/>
      <c r="X54" s="4"/>
      <c r="Y54" s="82"/>
      <c r="Z54" s="82"/>
      <c r="AA54" s="2"/>
    </row>
    <row r="55" spans="1:27" ht="20.100000000000001" customHeight="1" thickBot="1" x14ac:dyDescent="0.3">
      <c r="A55" s="1247"/>
      <c r="B55" s="240">
        <v>1200</v>
      </c>
      <c r="C55" s="241">
        <v>600</v>
      </c>
      <c r="D55" s="242">
        <v>200</v>
      </c>
      <c r="E55" s="238" t="s">
        <v>339</v>
      </c>
      <c r="F55" s="316">
        <v>100</v>
      </c>
      <c r="G55" s="289">
        <v>14.467592592592595</v>
      </c>
      <c r="H55" s="317" t="s">
        <v>177</v>
      </c>
      <c r="I55" s="445">
        <f>IF(E55="C",ROUNDUP(10000/100/ФасадDDP!O55,0)*ФасадDDP!O55," ")</f>
        <v>103.67999999999998</v>
      </c>
      <c r="J55" s="306">
        <v>1</v>
      </c>
      <c r="K55" s="307">
        <v>0.72</v>
      </c>
      <c r="L55" s="129">
        <v>0.14399999999999999</v>
      </c>
      <c r="M55" s="130">
        <v>48</v>
      </c>
      <c r="N55" s="129">
        <v>6.911999999999999</v>
      </c>
      <c r="O55" s="260">
        <v>76.031999999999982</v>
      </c>
      <c r="P55" s="308"/>
      <c r="Q55" s="479">
        <f t="shared" si="0"/>
        <v>618.4799999999999</v>
      </c>
      <c r="R55" s="657">
        <v>4295</v>
      </c>
      <c r="S55" s="318">
        <v>814.42999999999984</v>
      </c>
      <c r="T55" s="745" t="s">
        <v>583</v>
      </c>
      <c r="V55" s="953">
        <f>IF($V$2&lt;4,SUMIFS(РегСкидка!$C$3:$C$619,РегСкидка!$D$3:$D$619,INDEX('Доставка по областям'!$G$2:$G$90,'ФАСАД Рязань'!$Q$5),РегСкидка!$B$3:$B$619,T55,РегСкидка!$E$3:$E$619,$V$7)/100*IF(OR($V$3=1,$V$3=2,$V$3=3,$V$3=4),1,0),0)</f>
        <v>0</v>
      </c>
      <c r="W55" s="1230"/>
      <c r="X55" s="4"/>
      <c r="Y55" s="82"/>
      <c r="Z55" s="82"/>
      <c r="AA55" s="2"/>
    </row>
    <row r="56" spans="1:27" ht="20.100000000000001" customHeight="1" thickBot="1" x14ac:dyDescent="0.3">
      <c r="A56" s="35" t="s">
        <v>13</v>
      </c>
      <c r="B56" s="252">
        <v>1200</v>
      </c>
      <c r="C56" s="250">
        <v>600</v>
      </c>
      <c r="D56" s="251">
        <v>50</v>
      </c>
      <c r="E56" s="238" t="s">
        <v>239</v>
      </c>
      <c r="F56" s="319"/>
      <c r="G56" s="319">
        <v>0</v>
      </c>
      <c r="H56" s="310" t="s">
        <v>700</v>
      </c>
      <c r="I56" s="594" t="str">
        <f>IF(E56="C",ROUNDUP(10000/145/ФасадDDP!O56,0)*ФасадDDP!O56," ")</f>
        <v xml:space="preserve"> </v>
      </c>
      <c r="J56" s="311">
        <v>6</v>
      </c>
      <c r="K56" s="265">
        <v>4.32</v>
      </c>
      <c r="L56" s="132">
        <v>0.216</v>
      </c>
      <c r="M56" s="320">
        <v>32</v>
      </c>
      <c r="N56" s="132">
        <v>6.9119999999999999</v>
      </c>
      <c r="O56" s="226">
        <v>76.031999999999996</v>
      </c>
      <c r="P56" s="321"/>
      <c r="Q56" s="88">
        <f>L56*R56</f>
        <v>1375.92</v>
      </c>
      <c r="R56" s="656">
        <v>6370</v>
      </c>
      <c r="S56" s="286">
        <v>203.60749999999996</v>
      </c>
      <c r="T56" s="745" t="s">
        <v>584</v>
      </c>
      <c r="V56" s="953">
        <f>IF($V$2&lt;4,SUMIFS(РегСкидка!$C$3:$C$619,РегСкидка!$D$3:$D$619,INDEX('Доставка по областям'!$G$2:$G$90,'ФАСАД Рязань'!$Q$5),РегСкидка!$B$3:$B$619,T56,РегСкидка!$E$3:$E$619,$V$7)/100*IF(OR($V$3=1,$V$3=2,$V$3=3,$V$3=4),1,0),0)</f>
        <v>0</v>
      </c>
      <c r="W56" s="1230"/>
      <c r="X56" s="4"/>
      <c r="Y56" s="82"/>
      <c r="AA56" s="2"/>
    </row>
    <row r="57" spans="1:27" ht="20.100000000000001" customHeight="1" thickBot="1" x14ac:dyDescent="0.3">
      <c r="A57" s="1246" t="s">
        <v>30</v>
      </c>
      <c r="B57" s="203">
        <v>1200</v>
      </c>
      <c r="C57" s="204">
        <v>600</v>
      </c>
      <c r="D57" s="209">
        <v>60</v>
      </c>
      <c r="E57" s="238" t="s">
        <v>339</v>
      </c>
      <c r="F57" s="263">
        <v>71.428571428571431</v>
      </c>
      <c r="G57" s="263">
        <v>10.333994708994709</v>
      </c>
      <c r="H57" s="264" t="s">
        <v>154</v>
      </c>
      <c r="I57" s="592">
        <f>IF(E57="C",ROUNDUP(10000/145/ФасадDDP!O57,0)*ФасадDDP!O57," ")</f>
        <v>69.11999999999999</v>
      </c>
      <c r="J57" s="97">
        <v>4</v>
      </c>
      <c r="K57" s="265">
        <v>2.8800000000000003</v>
      </c>
      <c r="L57" s="126">
        <v>0.17280000000000001</v>
      </c>
      <c r="M57" s="97">
        <v>40</v>
      </c>
      <c r="N57" s="126">
        <v>6.9120000000000008</v>
      </c>
      <c r="O57" s="227">
        <v>76.032000000000011</v>
      </c>
      <c r="P57" s="266"/>
      <c r="Q57" s="88">
        <f t="shared" si="0"/>
        <v>1100.7360000000001</v>
      </c>
      <c r="R57" s="657">
        <v>6370</v>
      </c>
      <c r="S57" s="276">
        <v>244.32899999999998</v>
      </c>
      <c r="T57" s="745" t="s">
        <v>584</v>
      </c>
      <c r="V57" s="953">
        <f>IF($V$2&lt;4,SUMIFS(РегСкидка!$C$3:$C$619,РегСкидка!$D$3:$D$619,INDEX('Доставка по областям'!$G$2:$G$90,'ФАСАД Рязань'!$Q$5),РегСкидка!$B$3:$B$619,T57,РегСкидка!$E$3:$E$619,$V$7)/100*IF(OR($V$3=1,$V$3=2,$V$3=3,$V$3=4),1,0),0)</f>
        <v>0</v>
      </c>
      <c r="W57" s="1230"/>
      <c r="X57" s="4"/>
      <c r="Y57" s="82"/>
      <c r="AA57" s="2"/>
    </row>
    <row r="58" spans="1:27" ht="20.100000000000001" customHeight="1" thickBot="1" x14ac:dyDescent="0.3">
      <c r="A58" s="1246"/>
      <c r="B58" s="203">
        <v>1200</v>
      </c>
      <c r="C58" s="204">
        <v>600</v>
      </c>
      <c r="D58" s="209">
        <v>70</v>
      </c>
      <c r="E58" s="238" t="s">
        <v>339</v>
      </c>
      <c r="F58" s="263">
        <v>71.428571428571431</v>
      </c>
      <c r="G58" s="263">
        <v>10.736617879475023</v>
      </c>
      <c r="H58" s="264" t="s">
        <v>155</v>
      </c>
      <c r="I58" s="592">
        <f>IF(E58="C",ROUNDUP(10000/145/ФасадDDP!O58,0)*ФасадDDP!O58," ")</f>
        <v>73.180800000000005</v>
      </c>
      <c r="J58" s="97">
        <v>3</v>
      </c>
      <c r="K58" s="265">
        <v>2.16</v>
      </c>
      <c r="L58" s="126">
        <v>0.1512</v>
      </c>
      <c r="M58" s="97">
        <v>44</v>
      </c>
      <c r="N58" s="126">
        <v>6.6528</v>
      </c>
      <c r="O58" s="227">
        <v>73.180800000000005</v>
      </c>
      <c r="P58" s="266"/>
      <c r="Q58" s="88">
        <f t="shared" si="0"/>
        <v>963.14400000000001</v>
      </c>
      <c r="R58" s="657">
        <v>6370</v>
      </c>
      <c r="S58" s="267">
        <v>285.0505</v>
      </c>
      <c r="T58" s="745" t="s">
        <v>584</v>
      </c>
      <c r="V58" s="953">
        <f>IF($V$2&lt;4,SUMIFS(РегСкидка!$C$3:$C$619,РегСкидка!$D$3:$D$619,INDEX('Доставка по областям'!$G$2:$G$90,'ФАСАД Рязань'!$Q$5),РегСкидка!$B$3:$B$619,T58,РегСкидка!$E$3:$E$619,$V$7)/100*IF(OR($V$3=1,$V$3=2,$V$3=3,$V$3=4),1,0),0)</f>
        <v>0</v>
      </c>
      <c r="W58" s="1230"/>
      <c r="X58" s="4"/>
      <c r="Y58" s="82"/>
      <c r="AA58" s="2"/>
    </row>
    <row r="59" spans="1:27" ht="20.100000000000001" customHeight="1" thickBot="1" x14ac:dyDescent="0.3">
      <c r="A59" s="1246"/>
      <c r="B59" s="203">
        <v>1200</v>
      </c>
      <c r="C59" s="204">
        <v>600</v>
      </c>
      <c r="D59" s="209">
        <v>80</v>
      </c>
      <c r="E59" s="238" t="s">
        <v>239</v>
      </c>
      <c r="F59" s="263"/>
      <c r="G59" s="263">
        <v>0</v>
      </c>
      <c r="H59" s="264" t="s">
        <v>156</v>
      </c>
      <c r="I59" s="592" t="str">
        <f>IF(E59="C",ROUNDUP(10000/145/ФасадDDP!O59,0)*ФасадDDP!O59," ")</f>
        <v xml:space="preserve"> </v>
      </c>
      <c r="J59" s="274">
        <v>3</v>
      </c>
      <c r="K59" s="265">
        <v>2.16</v>
      </c>
      <c r="L59" s="126">
        <v>0.17280000000000001</v>
      </c>
      <c r="M59" s="97">
        <v>40</v>
      </c>
      <c r="N59" s="126">
        <v>6.9120000000000008</v>
      </c>
      <c r="O59" s="227">
        <v>76.032000000000011</v>
      </c>
      <c r="P59" s="266"/>
      <c r="Q59" s="88">
        <f t="shared" si="0"/>
        <v>1100.7360000000001</v>
      </c>
      <c r="R59" s="657">
        <v>6370</v>
      </c>
      <c r="S59" s="38">
        <v>325.77199999999999</v>
      </c>
      <c r="T59" s="745" t="s">
        <v>584</v>
      </c>
      <c r="V59" s="953">
        <f>IF($V$2&lt;4,SUMIFS(РегСкидка!$C$3:$C$619,РегСкидка!$D$3:$D$619,INDEX('Доставка по областям'!$G$2:$G$90,'ФАСАД Рязань'!$Q$5),РегСкидка!$B$3:$B$619,T59,РегСкидка!$E$3:$E$619,$V$7)/100*IF(OR($V$3=1,$V$3=2,$V$3=3,$V$3=4),1,0),0)</f>
        <v>0</v>
      </c>
      <c r="W59" s="1230"/>
      <c r="X59" s="4"/>
      <c r="Y59" s="82"/>
      <c r="AA59" s="2"/>
    </row>
    <row r="60" spans="1:27" ht="20.100000000000001" customHeight="1" thickBot="1" x14ac:dyDescent="0.3">
      <c r="A60" s="1246"/>
      <c r="B60" s="203">
        <v>1200</v>
      </c>
      <c r="C60" s="204">
        <v>600</v>
      </c>
      <c r="D60" s="209">
        <v>90</v>
      </c>
      <c r="E60" s="238" t="s">
        <v>339</v>
      </c>
      <c r="F60" s="263">
        <v>71.428571428571431</v>
      </c>
      <c r="G60" s="263">
        <v>11.482216343327455</v>
      </c>
      <c r="H60" s="264" t="s">
        <v>701</v>
      </c>
      <c r="I60" s="592">
        <f>IF(E60="C",ROUNDUP(10000/145/ФасадDDP!O60,0)*ФасадDDP!O60," ")</f>
        <v>74.131199999999993</v>
      </c>
      <c r="J60" s="274">
        <v>2</v>
      </c>
      <c r="K60" s="322">
        <v>1.44</v>
      </c>
      <c r="L60" s="126">
        <v>0.12959999999999999</v>
      </c>
      <c r="M60" s="97">
        <v>52</v>
      </c>
      <c r="N60" s="126">
        <v>6.7392000000000003</v>
      </c>
      <c r="O60" s="227">
        <v>74.131200000000007</v>
      </c>
      <c r="P60" s="266"/>
      <c r="Q60" s="88">
        <f t="shared" si="0"/>
        <v>825.55199999999991</v>
      </c>
      <c r="R60" s="657">
        <v>6370</v>
      </c>
      <c r="S60" s="104">
        <v>366.49349999999993</v>
      </c>
      <c r="T60" s="745" t="s">
        <v>584</v>
      </c>
      <c r="V60" s="953">
        <f>IF($V$2&lt;4,SUMIFS(РегСкидка!$C$3:$C$619,РегСкидка!$D$3:$D$619,INDEX('Доставка по областям'!$G$2:$G$90,'ФАСАД Рязань'!$Q$5),РегСкидка!$B$3:$B$619,T60,РегСкидка!$E$3:$E$619,$V$7)/100*IF(OR($V$3=1,$V$3=2,$V$3=3,$V$3=4),1,0),0)</f>
        <v>0</v>
      </c>
      <c r="W60" s="1230"/>
      <c r="X60" s="4"/>
      <c r="Y60" s="82"/>
      <c r="Z60" s="82"/>
      <c r="AA60" s="2"/>
    </row>
    <row r="61" spans="1:27" ht="19.5" customHeight="1" thickBot="1" x14ac:dyDescent="0.3">
      <c r="A61" s="1246"/>
      <c r="B61" s="203">
        <v>1200</v>
      </c>
      <c r="C61" s="204">
        <v>600</v>
      </c>
      <c r="D61" s="209">
        <v>100</v>
      </c>
      <c r="E61" s="238" t="s">
        <v>239</v>
      </c>
      <c r="F61" s="263"/>
      <c r="G61" s="263">
        <v>0</v>
      </c>
      <c r="H61" s="264" t="s">
        <v>157</v>
      </c>
      <c r="I61" s="592" t="str">
        <f>IF(E61="C",ROUNDUP(10000/145/ФасадDDP!O61,0)*ФасадDDP!O61," ")</f>
        <v xml:space="preserve"> </v>
      </c>
      <c r="J61" s="97">
        <v>3</v>
      </c>
      <c r="K61" s="265">
        <v>2.16</v>
      </c>
      <c r="L61" s="126">
        <v>0.216</v>
      </c>
      <c r="M61" s="97">
        <v>32</v>
      </c>
      <c r="N61" s="126">
        <v>6.9119999999999999</v>
      </c>
      <c r="O61" s="227">
        <v>76.031999999999996</v>
      </c>
      <c r="P61" s="266"/>
      <c r="Q61" s="88">
        <f t="shared" si="0"/>
        <v>1375.92</v>
      </c>
      <c r="R61" s="657">
        <v>6370</v>
      </c>
      <c r="S61" s="267">
        <v>407.21499999999992</v>
      </c>
      <c r="T61" s="745" t="s">
        <v>584</v>
      </c>
      <c r="V61" s="953">
        <f>IF($V$2&lt;4,SUMIFS(РегСкидка!$C$3:$C$619,РегСкидка!$D$3:$D$619,INDEX('Доставка по областям'!$G$2:$G$90,'ФАСАД Рязань'!$Q$5),РегСкидка!$B$3:$B$619,T61,РегСкидка!$E$3:$E$619,$V$7)/100*IF(OR($V$3=1,$V$3=2,$V$3=3,$V$3=4),1,0),0)</f>
        <v>0</v>
      </c>
      <c r="W61" s="1230"/>
      <c r="X61" s="4"/>
      <c r="Y61" s="82"/>
      <c r="AA61" s="2"/>
    </row>
    <row r="62" spans="1:27" ht="20.100000000000001" customHeight="1" thickBot="1" x14ac:dyDescent="0.3">
      <c r="A62" s="1246"/>
      <c r="B62" s="203">
        <v>1200</v>
      </c>
      <c r="C62" s="204">
        <v>600</v>
      </c>
      <c r="D62" s="209">
        <v>110</v>
      </c>
      <c r="E62" s="238" t="s">
        <v>339</v>
      </c>
      <c r="F62" s="263">
        <v>74.074074074074076</v>
      </c>
      <c r="G62" s="263">
        <v>11.690983913206136</v>
      </c>
      <c r="H62" s="264" t="s">
        <v>243</v>
      </c>
      <c r="I62" s="592">
        <f>IF(E62="C",ROUNDUP(10000/145/ФасадDDP!O62,0)*ФасадDDP!O62," ")</f>
        <v>69.695999999999998</v>
      </c>
      <c r="J62" s="97">
        <v>2</v>
      </c>
      <c r="K62" s="265">
        <v>1.4400000000000002</v>
      </c>
      <c r="L62" s="126">
        <v>0.15840000000000001</v>
      </c>
      <c r="M62" s="97">
        <v>40</v>
      </c>
      <c r="N62" s="126">
        <v>6.3360000000000003</v>
      </c>
      <c r="O62" s="227">
        <v>69.695999999999998</v>
      </c>
      <c r="P62" s="266"/>
      <c r="Q62" s="88">
        <f t="shared" si="0"/>
        <v>1009.008</v>
      </c>
      <c r="R62" s="657">
        <v>6370</v>
      </c>
      <c r="S62" s="104">
        <v>447.93649999999997</v>
      </c>
      <c r="T62" s="745" t="s">
        <v>584</v>
      </c>
      <c r="V62" s="953">
        <f>IF($V$2&lt;4,SUMIFS(РегСкидка!$C$3:$C$619,РегСкидка!$D$3:$D$619,INDEX('Доставка по областям'!$G$2:$G$90,'ФАСАД Рязань'!$Q$5),РегСкидка!$B$3:$B$619,T62,РегСкидка!$E$3:$E$619,$V$7)/100*IF(OR($V$3=1,$V$3=2,$V$3=3,$V$3=4),1,0),0)</f>
        <v>0</v>
      </c>
      <c r="W62" s="1230"/>
      <c r="X62" s="4"/>
      <c r="Y62" s="82"/>
      <c r="Z62" s="82"/>
      <c r="AA62" s="2"/>
    </row>
    <row r="63" spans="1:27" ht="20.100000000000001" customHeight="1" thickBot="1" x14ac:dyDescent="0.3">
      <c r="A63" s="1246"/>
      <c r="B63" s="203">
        <v>1200</v>
      </c>
      <c r="C63" s="204">
        <v>600</v>
      </c>
      <c r="D63" s="209">
        <v>120</v>
      </c>
      <c r="E63" s="238" t="s">
        <v>239</v>
      </c>
      <c r="F63" s="263"/>
      <c r="G63" s="263">
        <v>0</v>
      </c>
      <c r="H63" s="264" t="s">
        <v>158</v>
      </c>
      <c r="I63" s="592" t="str">
        <f>IF(E63="C",ROUNDUP(10000/145/ФасадDDP!O63,0)*ФасадDDP!O63," ")</f>
        <v xml:space="preserve"> </v>
      </c>
      <c r="J63" s="97">
        <v>2</v>
      </c>
      <c r="K63" s="265">
        <v>1.4400000000000002</v>
      </c>
      <c r="L63" s="126">
        <v>0.17280000000000001</v>
      </c>
      <c r="M63" s="97">
        <v>40</v>
      </c>
      <c r="N63" s="126">
        <v>6.9120000000000008</v>
      </c>
      <c r="O63" s="227">
        <v>76.032000000000011</v>
      </c>
      <c r="P63" s="266"/>
      <c r="Q63" s="88">
        <f t="shared" si="0"/>
        <v>1100.7360000000001</v>
      </c>
      <c r="R63" s="657">
        <v>6370</v>
      </c>
      <c r="S63" s="105">
        <v>488.65799999999996</v>
      </c>
      <c r="T63" s="745" t="s">
        <v>584</v>
      </c>
      <c r="V63" s="953">
        <f>IF($V$2&lt;4,SUMIFS(РегСкидка!$C$3:$C$619,РегСкидка!$D$3:$D$619,INDEX('Доставка по областям'!$G$2:$G$90,'ФАСАД Рязань'!$Q$5),РегСкидка!$B$3:$B$619,T63,РегСкидка!$E$3:$E$619,$V$7)/100*IF(OR($V$3=1,$V$3=2,$V$3=3,$V$3=4),1,0),0)</f>
        <v>0</v>
      </c>
      <c r="W63" s="1230"/>
      <c r="X63" s="4"/>
      <c r="Y63" s="82"/>
      <c r="AA63" s="2"/>
    </row>
    <row r="64" spans="1:27" ht="20.100000000000001" customHeight="1" thickBot="1" x14ac:dyDescent="0.3">
      <c r="A64" s="1246"/>
      <c r="B64" s="203">
        <v>1200</v>
      </c>
      <c r="C64" s="204">
        <v>600</v>
      </c>
      <c r="D64" s="209">
        <v>130</v>
      </c>
      <c r="E64" s="238" t="s">
        <v>339</v>
      </c>
      <c r="F64" s="263">
        <v>74.074074074074076</v>
      </c>
      <c r="G64" s="263">
        <v>10.991523337202349</v>
      </c>
      <c r="H64" s="264" t="s">
        <v>159</v>
      </c>
      <c r="I64" s="592">
        <f>IF(E64="C",ROUNDUP(10000/145/ФасадDDP!O64,0)*ФасадDDP!O64," ")</f>
        <v>74.131199999999993</v>
      </c>
      <c r="J64" s="97">
        <v>2</v>
      </c>
      <c r="K64" s="265">
        <v>1.4400000000000002</v>
      </c>
      <c r="L64" s="126">
        <v>0.18720000000000001</v>
      </c>
      <c r="M64" s="97">
        <v>36</v>
      </c>
      <c r="N64" s="126">
        <v>6.7392000000000003</v>
      </c>
      <c r="O64" s="227">
        <v>74.131200000000007</v>
      </c>
      <c r="P64" s="266"/>
      <c r="Q64" s="88">
        <f t="shared" si="0"/>
        <v>1192.4639999999999</v>
      </c>
      <c r="R64" s="657">
        <v>6370</v>
      </c>
      <c r="S64" s="103">
        <v>529.37950000000001</v>
      </c>
      <c r="T64" s="745" t="s">
        <v>584</v>
      </c>
      <c r="V64" s="953">
        <f>IF($V$2&lt;4,SUMIFS(РегСкидка!$C$3:$C$619,РегСкидка!$D$3:$D$619,INDEX('Доставка по областям'!$G$2:$G$90,'ФАСАД Рязань'!$Q$5),РегСкидка!$B$3:$B$619,T64,РегСкидка!$E$3:$E$619,$V$7)/100*IF(OR($V$3=1,$V$3=2,$V$3=3,$V$3=4),1,0),0)</f>
        <v>0</v>
      </c>
      <c r="W64" s="1230"/>
      <c r="X64" s="4"/>
      <c r="Y64" s="82"/>
      <c r="AA64" s="2"/>
    </row>
    <row r="65" spans="1:27" ht="20.100000000000001" customHeight="1" thickBot="1" x14ac:dyDescent="0.3">
      <c r="A65" s="1246"/>
      <c r="B65" s="203">
        <v>1200</v>
      </c>
      <c r="C65" s="204">
        <v>600</v>
      </c>
      <c r="D65" s="209">
        <v>140</v>
      </c>
      <c r="E65" s="238" t="s">
        <v>339</v>
      </c>
      <c r="F65" s="263">
        <v>74.074074074074076</v>
      </c>
      <c r="G65" s="263">
        <v>11.482216343327455</v>
      </c>
      <c r="H65" s="264" t="s">
        <v>160</v>
      </c>
      <c r="I65" s="592">
        <f>IF(E65="C",ROUNDUP(10000/145/ФасадDDP!O65,0)*ФасадDDP!O65," ")</f>
        <v>70.963200000000001</v>
      </c>
      <c r="J65" s="97">
        <v>2</v>
      </c>
      <c r="K65" s="265">
        <v>1.4400000000000002</v>
      </c>
      <c r="L65" s="126">
        <v>0.2016</v>
      </c>
      <c r="M65" s="97">
        <v>32</v>
      </c>
      <c r="N65" s="126">
        <v>6.4512</v>
      </c>
      <c r="O65" s="227">
        <v>70.963200000000001</v>
      </c>
      <c r="P65" s="266"/>
      <c r="Q65" s="88">
        <f t="shared" si="0"/>
        <v>1284.192</v>
      </c>
      <c r="R65" s="657">
        <v>6370</v>
      </c>
      <c r="S65" s="103">
        <v>570.101</v>
      </c>
      <c r="T65" s="745" t="s">
        <v>584</v>
      </c>
      <c r="V65" s="953">
        <f>IF($V$2&lt;4,SUMIFS(РегСкидка!$C$3:$C$619,РегСкидка!$D$3:$D$619,INDEX('Доставка по областям'!$G$2:$G$90,'ФАСАД Рязань'!$Q$5),РегСкидка!$B$3:$B$619,T65,РегСкидка!$E$3:$E$619,$V$7)/100*IF(OR($V$3=1,$V$3=2,$V$3=3,$V$3=4),1,0),0)</f>
        <v>0</v>
      </c>
      <c r="W65" s="1230"/>
      <c r="X65" s="4"/>
      <c r="Y65" s="82"/>
      <c r="Z65" s="82"/>
      <c r="AA65" s="2"/>
    </row>
    <row r="66" spans="1:27" ht="20.100000000000001" customHeight="1" thickBot="1" x14ac:dyDescent="0.3">
      <c r="A66" s="1247"/>
      <c r="B66" s="240">
        <v>1200</v>
      </c>
      <c r="C66" s="241">
        <v>600</v>
      </c>
      <c r="D66" s="242">
        <v>150</v>
      </c>
      <c r="E66" s="238" t="s">
        <v>339</v>
      </c>
      <c r="F66" s="289">
        <v>74.074074074074076</v>
      </c>
      <c r="G66" s="289">
        <v>10.716735253772292</v>
      </c>
      <c r="H66" s="317" t="s">
        <v>161</v>
      </c>
      <c r="I66" s="593">
        <f>IF(E66="C",ROUNDUP(10000/145/ФасадDDP!O66,0)*ФасадDDP!O66," ")</f>
        <v>69.12</v>
      </c>
      <c r="J66" s="306">
        <v>2</v>
      </c>
      <c r="K66" s="1089">
        <v>1.4400000000000002</v>
      </c>
      <c r="L66" s="129">
        <v>0.216</v>
      </c>
      <c r="M66" s="306">
        <v>32</v>
      </c>
      <c r="N66" s="129">
        <v>6.9119999999999999</v>
      </c>
      <c r="O66" s="616">
        <v>76.031999999999996</v>
      </c>
      <c r="P66" s="308"/>
      <c r="Q66" s="614">
        <f t="shared" si="0"/>
        <v>1375.92</v>
      </c>
      <c r="R66" s="831">
        <v>6370</v>
      </c>
      <c r="S66" s="1090">
        <v>610.82249999999999</v>
      </c>
      <c r="T66" s="745" t="s">
        <v>584</v>
      </c>
      <c r="V66" s="953">
        <f>IF($V$2&lt;4,SUMIFS(РегСкидка!$C$3:$C$619,РегСкидка!$D$3:$D$619,INDEX('Доставка по областям'!$G$2:$G$90,'ФАСАД Рязань'!$Q$5),РегСкидка!$B$3:$B$619,T66,РегСкидка!$E$3:$E$619,$V$7)/100*IF(OR($V$3=1,$V$3=2,$V$3=3,$V$3=4),1,0),0)</f>
        <v>0</v>
      </c>
      <c r="W66" s="1230"/>
      <c r="X66" s="4"/>
      <c r="Y66" s="82"/>
      <c r="AA66" s="2"/>
    </row>
    <row r="67" spans="1:27" ht="20.100000000000001" customHeight="1" thickBot="1" x14ac:dyDescent="0.3">
      <c r="A67" s="1088" t="s">
        <v>474</v>
      </c>
      <c r="B67" s="249">
        <v>1200</v>
      </c>
      <c r="C67" s="287">
        <v>600</v>
      </c>
      <c r="D67" s="288">
        <v>50</v>
      </c>
      <c r="E67" s="664" t="s">
        <v>239</v>
      </c>
      <c r="F67" s="319"/>
      <c r="G67" s="319">
        <v>0</v>
      </c>
      <c r="H67" s="1052" t="s">
        <v>710</v>
      </c>
      <c r="I67" s="594" t="str">
        <f>IF(E67="C",ROUNDUP(10000/145/ФасадDDP!O67,0)*ФасадDDP!O67," ")</f>
        <v xml:space="preserve"> </v>
      </c>
      <c r="J67" s="320">
        <v>6</v>
      </c>
      <c r="K67" s="265">
        <v>3.6</v>
      </c>
      <c r="L67" s="132">
        <v>0.18</v>
      </c>
      <c r="M67" s="320">
        <v>32</v>
      </c>
      <c r="N67" s="132">
        <v>6.9119999999999999</v>
      </c>
      <c r="O67" s="226">
        <v>76.031999999999996</v>
      </c>
      <c r="P67" s="612"/>
      <c r="Q67" s="88">
        <f>L67*R67</f>
        <v>1031.94</v>
      </c>
      <c r="R67" s="897">
        <v>5733</v>
      </c>
      <c r="S67" s="315">
        <v>203.60749999999996</v>
      </c>
      <c r="T67" s="745" t="s">
        <v>584</v>
      </c>
      <c r="V67" s="953">
        <f>IF($V$2&lt;4,SUMIFS(РегСкидка!$C$3:$C$619,РегСкидка!$D$3:$D$619,INDEX('Доставка по областям'!$G$2:$G$90,'ФАСАД Рязань'!$Q$5),РегСкидка!$B$3:$B$619,T67,РегСкидка!$E$3:$E$619,$V$7)/100*IF(OR($V$3=1,$V$3=2,$V$3=3,$V$3=4),1,0),0)</f>
        <v>0</v>
      </c>
      <c r="W67" s="1230"/>
      <c r="X67" s="4"/>
      <c r="Y67" s="82"/>
      <c r="AA67" s="2"/>
    </row>
    <row r="68" spans="1:27" ht="20.100000000000001" customHeight="1" thickBot="1" x14ac:dyDescent="0.3">
      <c r="A68" s="761"/>
      <c r="B68" s="203">
        <v>1200</v>
      </c>
      <c r="C68" s="204">
        <v>600</v>
      </c>
      <c r="D68" s="209">
        <v>60</v>
      </c>
      <c r="E68" s="238" t="s">
        <v>339</v>
      </c>
      <c r="F68" s="263">
        <v>71.428571428571431</v>
      </c>
      <c r="G68" s="263">
        <v>10.333994708994709</v>
      </c>
      <c r="H68" s="264" t="s">
        <v>475</v>
      </c>
      <c r="I68" s="592">
        <f>IF(E68="C",ROUNDUP(10000/135/ФасадDDP!O68,0)*ФасадDDP!O68," ")</f>
        <v>76.031999999999982</v>
      </c>
      <c r="J68" s="97">
        <v>4</v>
      </c>
      <c r="K68" s="265">
        <v>2.8800000000000003</v>
      </c>
      <c r="L68" s="126">
        <v>0.17280000000000001</v>
      </c>
      <c r="M68" s="97">
        <v>40</v>
      </c>
      <c r="N68" s="126">
        <v>6.9120000000000008</v>
      </c>
      <c r="O68" s="227">
        <v>76.032000000000011</v>
      </c>
      <c r="P68" s="266"/>
      <c r="Q68" s="88">
        <f t="shared" ref="Q68:Q82" si="2">L68*R68</f>
        <v>990.66240000000005</v>
      </c>
      <c r="R68" s="657">
        <v>5733</v>
      </c>
      <c r="S68" s="276">
        <v>244.32899999999998</v>
      </c>
      <c r="T68" s="745" t="s">
        <v>584</v>
      </c>
      <c r="V68" s="953">
        <f>IF($V$2&lt;4,SUMIFS(РегСкидка!$C$3:$C$619,РегСкидка!$D$3:$D$619,INDEX('Доставка по областям'!$G$2:$G$90,'ФАСАД Рязань'!$Q$5),РегСкидка!$B$3:$B$619,T68,РегСкидка!$E$3:$E$619,$V$7)/100*IF(OR($V$3=1,$V$3=2,$V$3=3,$V$3=4),1,0),0)</f>
        <v>0</v>
      </c>
      <c r="W68" s="1230"/>
      <c r="X68" s="4"/>
      <c r="Y68" s="82"/>
      <c r="AA68" s="2"/>
    </row>
    <row r="69" spans="1:27" ht="20.100000000000001" customHeight="1" thickBot="1" x14ac:dyDescent="0.3">
      <c r="A69" s="761"/>
      <c r="B69" s="203">
        <v>1200</v>
      </c>
      <c r="C69" s="204">
        <v>600</v>
      </c>
      <c r="D69" s="209">
        <v>70</v>
      </c>
      <c r="E69" s="238" t="s">
        <v>339</v>
      </c>
      <c r="F69" s="263">
        <v>71.428571428571431</v>
      </c>
      <c r="G69" s="263">
        <v>10.736617879475023</v>
      </c>
      <c r="H69" s="264" t="s">
        <v>476</v>
      </c>
      <c r="I69" s="592">
        <f>IF(E69="C",ROUNDUP(10000/135/ФасадDDP!O69,0)*ФасадDDP!O69," ")</f>
        <v>79.833600000000018</v>
      </c>
      <c r="J69" s="97">
        <v>3</v>
      </c>
      <c r="K69" s="265">
        <v>2.16</v>
      </c>
      <c r="L69" s="126">
        <v>0.1512</v>
      </c>
      <c r="M69" s="97">
        <v>44</v>
      </c>
      <c r="N69" s="126">
        <v>6.6528</v>
      </c>
      <c r="O69" s="227">
        <v>73.180800000000005</v>
      </c>
      <c r="P69" s="266"/>
      <c r="Q69" s="88">
        <f t="shared" si="2"/>
        <v>866.82960000000003</v>
      </c>
      <c r="R69" s="657">
        <v>5733</v>
      </c>
      <c r="S69" s="267">
        <v>285.0505</v>
      </c>
      <c r="T69" s="745" t="s">
        <v>584</v>
      </c>
      <c r="V69" s="953">
        <f>IF($V$2&lt;4,SUMIFS(РегСкидка!$C$3:$C$619,РегСкидка!$D$3:$D$619,INDEX('Доставка по областям'!$G$2:$G$90,'ФАСАД Рязань'!$Q$5),РегСкидка!$B$3:$B$619,T69,РегСкидка!$E$3:$E$619,$V$7)/100*IF(OR($V$3=1,$V$3=2,$V$3=3,$V$3=4),1,0),0)</f>
        <v>0</v>
      </c>
      <c r="W69" s="1230"/>
      <c r="X69" s="4"/>
      <c r="Y69" s="82"/>
      <c r="AA69" s="2"/>
    </row>
    <row r="70" spans="1:27" ht="20.100000000000001" customHeight="1" thickBot="1" x14ac:dyDescent="0.3">
      <c r="A70" s="761"/>
      <c r="B70" s="203">
        <v>1200</v>
      </c>
      <c r="C70" s="204">
        <v>600</v>
      </c>
      <c r="D70" s="209">
        <v>80</v>
      </c>
      <c r="E70" s="238" t="s">
        <v>339</v>
      </c>
      <c r="F70" s="263"/>
      <c r="G70" s="263">
        <v>0</v>
      </c>
      <c r="H70" s="264" t="s">
        <v>477</v>
      </c>
      <c r="I70" s="592">
        <f>IF(E70="C",ROUNDUP(10000/135/ФасадDDP!O70,0)*ФасадDDP!O70," ")</f>
        <v>76.032000000000011</v>
      </c>
      <c r="J70" s="274">
        <v>3</v>
      </c>
      <c r="K70" s="265">
        <v>2.16</v>
      </c>
      <c r="L70" s="126">
        <v>0.17280000000000001</v>
      </c>
      <c r="M70" s="97">
        <v>40</v>
      </c>
      <c r="N70" s="126">
        <v>6.9120000000000008</v>
      </c>
      <c r="O70" s="227">
        <v>76.032000000000011</v>
      </c>
      <c r="P70" s="266"/>
      <c r="Q70" s="88">
        <f t="shared" si="2"/>
        <v>990.66240000000005</v>
      </c>
      <c r="R70" s="657">
        <v>5733</v>
      </c>
      <c r="S70" s="38">
        <v>325.77199999999999</v>
      </c>
      <c r="T70" s="745" t="s">
        <v>584</v>
      </c>
      <c r="V70" s="953">
        <f>IF($V$2&lt;4,SUMIFS(РегСкидка!$C$3:$C$619,РегСкидка!$D$3:$D$619,INDEX('Доставка по областям'!$G$2:$G$90,'ФАСАД Рязань'!$Q$5),РегСкидка!$B$3:$B$619,T70,РегСкидка!$E$3:$E$619,$V$7)/100*IF(OR($V$3=1,$V$3=2,$V$3=3,$V$3=4),1,0),0)</f>
        <v>0</v>
      </c>
      <c r="W70" s="1230"/>
      <c r="X70" s="4"/>
      <c r="Y70" s="82"/>
      <c r="AA70" s="2"/>
    </row>
    <row r="71" spans="1:27" ht="20.100000000000001" customHeight="1" thickBot="1" x14ac:dyDescent="0.3">
      <c r="A71" s="761"/>
      <c r="B71" s="203">
        <v>1200</v>
      </c>
      <c r="C71" s="204">
        <v>600</v>
      </c>
      <c r="D71" s="209">
        <v>90</v>
      </c>
      <c r="E71" s="238" t="s">
        <v>339</v>
      </c>
      <c r="F71" s="263">
        <v>71.428571428571431</v>
      </c>
      <c r="G71" s="263">
        <v>11.482216343327455</v>
      </c>
      <c r="H71" s="264" t="s">
        <v>478</v>
      </c>
      <c r="I71" s="592">
        <f>IF(E71="C",ROUNDUP(10000/135/ФасадDDP!O71,0)*ФасадDDP!O71," ")</f>
        <v>74.649600000000007</v>
      </c>
      <c r="J71" s="274">
        <v>3</v>
      </c>
      <c r="K71" s="322">
        <v>2.16</v>
      </c>
      <c r="L71" s="126">
        <v>0.19439999999999999</v>
      </c>
      <c r="M71" s="97">
        <v>32</v>
      </c>
      <c r="N71" s="126">
        <v>6.2207999999999997</v>
      </c>
      <c r="O71" s="227">
        <v>68.428799999999995</v>
      </c>
      <c r="P71" s="266"/>
      <c r="Q71" s="88">
        <f t="shared" si="2"/>
        <v>1114.4951999999998</v>
      </c>
      <c r="R71" s="657">
        <v>5733</v>
      </c>
      <c r="S71" s="104">
        <v>366.49349999999993</v>
      </c>
      <c r="T71" s="745" t="s">
        <v>584</v>
      </c>
      <c r="V71" s="953">
        <f>IF($V$2&lt;4,SUMIFS(РегСкидка!$C$3:$C$619,РегСкидка!$D$3:$D$619,INDEX('Доставка по областям'!$G$2:$G$90,'ФАСАД Рязань'!$Q$5),РегСкидка!$B$3:$B$619,T71,РегСкидка!$E$3:$E$619,$V$7)/100*IF(OR($V$3=1,$V$3=2,$V$3=3,$V$3=4),1,0),0)</f>
        <v>0</v>
      </c>
      <c r="W71" s="1230"/>
      <c r="X71" s="4"/>
      <c r="Y71" s="82"/>
      <c r="Z71" s="82"/>
      <c r="AA71" s="2"/>
    </row>
    <row r="72" spans="1:27" ht="19.5" customHeight="1" thickBot="1" x14ac:dyDescent="0.3">
      <c r="A72" s="761"/>
      <c r="B72" s="203">
        <v>1200</v>
      </c>
      <c r="C72" s="204">
        <v>600</v>
      </c>
      <c r="D72" s="209">
        <v>100</v>
      </c>
      <c r="E72" s="238" t="s">
        <v>239</v>
      </c>
      <c r="F72" s="263"/>
      <c r="G72" s="263">
        <v>0</v>
      </c>
      <c r="H72" s="264" t="s">
        <v>479</v>
      </c>
      <c r="I72" s="592" t="str">
        <f>IF(E72="C",ROUNDUP(10000/145/ФасадDDP!O72,0)*ФасадDDP!O72," ")</f>
        <v xml:space="preserve"> </v>
      </c>
      <c r="J72" s="97">
        <v>3</v>
      </c>
      <c r="K72" s="265">
        <v>2.16</v>
      </c>
      <c r="L72" s="126">
        <v>0.216</v>
      </c>
      <c r="M72" s="97">
        <v>32</v>
      </c>
      <c r="N72" s="126">
        <v>6.9119999999999999</v>
      </c>
      <c r="O72" s="227">
        <v>76.031999999999996</v>
      </c>
      <c r="P72" s="266"/>
      <c r="Q72" s="88">
        <f t="shared" si="2"/>
        <v>1238.328</v>
      </c>
      <c r="R72" s="657">
        <v>5733</v>
      </c>
      <c r="S72" s="267">
        <v>407.21499999999992</v>
      </c>
      <c r="T72" s="745" t="s">
        <v>584</v>
      </c>
      <c r="V72" s="953">
        <f>IF($V$2&lt;4,SUMIFS(РегСкидка!$C$3:$C$619,РегСкидка!$D$3:$D$619,INDEX('Доставка по областям'!$G$2:$G$90,'ФАСАД Рязань'!$Q$5),РегСкидка!$B$3:$B$619,T72,РегСкидка!$E$3:$E$619,$V$7)/100*IF(OR($V$3=1,$V$3=2,$V$3=3,$V$3=4),1,0),0)</f>
        <v>0</v>
      </c>
      <c r="W72" s="1230"/>
      <c r="X72" s="4"/>
      <c r="Y72" s="82"/>
      <c r="AA72" s="2"/>
    </row>
    <row r="73" spans="1:27" ht="20.100000000000001" customHeight="1" thickBot="1" x14ac:dyDescent="0.3">
      <c r="A73" s="869"/>
      <c r="B73" s="203">
        <v>1200</v>
      </c>
      <c r="C73" s="204">
        <v>600</v>
      </c>
      <c r="D73" s="209">
        <v>110</v>
      </c>
      <c r="E73" s="238" t="s">
        <v>339</v>
      </c>
      <c r="F73" s="263">
        <v>74.074074074074076</v>
      </c>
      <c r="G73" s="263">
        <v>11.690983913206136</v>
      </c>
      <c r="H73" s="264" t="s">
        <v>480</v>
      </c>
      <c r="I73" s="592">
        <f>IF(E73="C",ROUNDUP(10000/135/ФасадDDP!O73,0)*ФасадDDP!O73," ")</f>
        <v>76.032000000000011</v>
      </c>
      <c r="J73" s="97">
        <v>2</v>
      </c>
      <c r="K73" s="265">
        <v>1.4400000000000002</v>
      </c>
      <c r="L73" s="126">
        <v>0.15840000000000001</v>
      </c>
      <c r="M73" s="97">
        <v>40</v>
      </c>
      <c r="N73" s="126">
        <v>6.3360000000000003</v>
      </c>
      <c r="O73" s="227">
        <v>69.695999999999998</v>
      </c>
      <c r="P73" s="266"/>
      <c r="Q73" s="88">
        <f t="shared" ref="Q73:Q77" si="3">L73*R73</f>
        <v>908.10720000000003</v>
      </c>
      <c r="R73" s="657">
        <v>5733</v>
      </c>
      <c r="S73" s="104">
        <v>447.93649999999997</v>
      </c>
      <c r="T73" s="745" t="s">
        <v>584</v>
      </c>
      <c r="V73" s="953">
        <f>IF($V$2&lt;4,SUMIFS(РегСкидка!$C$3:$C$619,РегСкидка!$D$3:$D$619,INDEX('Доставка по областям'!$G$2:$G$90,'ФАСАД Рязань'!$Q$5),РегСкидка!$B$3:$B$619,T73,РегСкидка!$E$3:$E$619,$V$7)/100*IF(OR($V$3=1,$V$3=2,$V$3=3,$V$3=4),1,0),0)</f>
        <v>0</v>
      </c>
      <c r="W73" s="1230"/>
      <c r="X73" s="4"/>
      <c r="Y73" s="82"/>
      <c r="Z73" s="82"/>
      <c r="AA73" s="2"/>
    </row>
    <row r="74" spans="1:27" ht="20.100000000000001" customHeight="1" thickBot="1" x14ac:dyDescent="0.3">
      <c r="A74" s="869"/>
      <c r="B74" s="203">
        <v>1200</v>
      </c>
      <c r="C74" s="204">
        <v>600</v>
      </c>
      <c r="D74" s="209">
        <v>120</v>
      </c>
      <c r="E74" s="238" t="s">
        <v>339</v>
      </c>
      <c r="F74" s="263"/>
      <c r="G74" s="263">
        <v>0</v>
      </c>
      <c r="H74" s="264" t="s">
        <v>481</v>
      </c>
      <c r="I74" s="592">
        <f>IF(E74="C",ROUNDUP(10000/135/ФасадDDP!O74,0)*ФасадDDP!O74," ")</f>
        <v>76.031999999999982</v>
      </c>
      <c r="J74" s="97">
        <v>2</v>
      </c>
      <c r="K74" s="265">
        <v>1.4400000000000002</v>
      </c>
      <c r="L74" s="126">
        <v>0.17280000000000001</v>
      </c>
      <c r="M74" s="97">
        <v>40</v>
      </c>
      <c r="N74" s="126">
        <v>6.9120000000000008</v>
      </c>
      <c r="O74" s="227">
        <v>76.032000000000011</v>
      </c>
      <c r="P74" s="266"/>
      <c r="Q74" s="88">
        <f t="shared" si="3"/>
        <v>990.66240000000005</v>
      </c>
      <c r="R74" s="657">
        <v>5733</v>
      </c>
      <c r="S74" s="105">
        <v>488.65799999999996</v>
      </c>
      <c r="T74" s="745" t="s">
        <v>584</v>
      </c>
      <c r="V74" s="953">
        <f>IF($V$2&lt;4,SUMIFS(РегСкидка!$C$3:$C$619,РегСкидка!$D$3:$D$619,INDEX('Доставка по областям'!$G$2:$G$90,'ФАСАД Рязань'!$Q$5),РегСкидка!$B$3:$B$619,T74,РегСкидка!$E$3:$E$619,$V$7)/100*IF(OR($V$3=1,$V$3=2,$V$3=3,$V$3=4),1,0),0)</f>
        <v>0</v>
      </c>
      <c r="W74" s="1230"/>
      <c r="X74" s="4"/>
      <c r="Y74" s="82"/>
      <c r="AA74" s="2"/>
    </row>
    <row r="75" spans="1:27" ht="20.100000000000001" customHeight="1" thickBot="1" x14ac:dyDescent="0.3">
      <c r="A75" s="869"/>
      <c r="B75" s="203">
        <v>1200</v>
      </c>
      <c r="C75" s="204">
        <v>600</v>
      </c>
      <c r="D75" s="209">
        <v>130</v>
      </c>
      <c r="E75" s="238" t="s">
        <v>339</v>
      </c>
      <c r="F75" s="263">
        <v>74.074074074074076</v>
      </c>
      <c r="G75" s="263">
        <v>10.991523337202349</v>
      </c>
      <c r="H75" s="264" t="s">
        <v>482</v>
      </c>
      <c r="I75" s="592">
        <f>IF(E75="C",ROUNDUP(10000/135/ФасадDDP!O75,0)*ФасадDDP!O75," ")</f>
        <v>74.131199999999993</v>
      </c>
      <c r="J75" s="97">
        <v>2</v>
      </c>
      <c r="K75" s="265">
        <v>1.4400000000000002</v>
      </c>
      <c r="L75" s="126">
        <v>0.18720000000000001</v>
      </c>
      <c r="M75" s="97">
        <v>36</v>
      </c>
      <c r="N75" s="126">
        <v>6.7392000000000003</v>
      </c>
      <c r="O75" s="227">
        <v>74.131200000000007</v>
      </c>
      <c r="P75" s="266"/>
      <c r="Q75" s="88">
        <f t="shared" si="3"/>
        <v>1073.2175999999999</v>
      </c>
      <c r="R75" s="657">
        <v>5733</v>
      </c>
      <c r="S75" s="103">
        <v>529.37950000000001</v>
      </c>
      <c r="T75" s="745" t="s">
        <v>584</v>
      </c>
      <c r="V75" s="953">
        <f>IF($V$2&lt;4,SUMIFS(РегСкидка!$C$3:$C$619,РегСкидка!$D$3:$D$619,INDEX('Доставка по областям'!$G$2:$G$90,'ФАСАД Рязань'!$Q$5),РегСкидка!$B$3:$B$619,T75,РегСкидка!$E$3:$E$619,$V$7)/100*IF(OR($V$3=1,$V$3=2,$V$3=3,$V$3=4),1,0),0)</f>
        <v>0</v>
      </c>
      <c r="W75" s="1230"/>
      <c r="X75" s="4"/>
      <c r="Y75" s="82"/>
      <c r="AA75" s="2"/>
    </row>
    <row r="76" spans="1:27" ht="20.100000000000001" customHeight="1" thickBot="1" x14ac:dyDescent="0.3">
      <c r="A76" s="869"/>
      <c r="B76" s="12">
        <v>1200</v>
      </c>
      <c r="C76" s="13">
        <v>600</v>
      </c>
      <c r="D76" s="14">
        <v>140</v>
      </c>
      <c r="E76" s="238" t="s">
        <v>339</v>
      </c>
      <c r="F76" s="107">
        <v>74.074074074074076</v>
      </c>
      <c r="G76" s="116">
        <v>11.482216343327455</v>
      </c>
      <c r="H76" s="219" t="s">
        <v>483</v>
      </c>
      <c r="I76" s="592">
        <f>IF(E76="C",ROUNDUP(10000/135/ФасадDDP!O76,0)*ФасадDDP!O76," ")</f>
        <v>77.414400000000001</v>
      </c>
      <c r="J76" s="47">
        <v>2</v>
      </c>
      <c r="K76" s="188">
        <v>1.4400000000000002</v>
      </c>
      <c r="L76" s="182">
        <v>0.2016</v>
      </c>
      <c r="M76" s="47">
        <v>32</v>
      </c>
      <c r="N76" s="182">
        <v>6.4512</v>
      </c>
      <c r="O76" s="194">
        <v>70.963200000000001</v>
      </c>
      <c r="P76" s="48"/>
      <c r="Q76" s="88">
        <f t="shared" si="3"/>
        <v>1155.7728</v>
      </c>
      <c r="R76" s="657">
        <v>5733</v>
      </c>
      <c r="S76" s="38">
        <v>570.101</v>
      </c>
      <c r="T76" s="745" t="s">
        <v>584</v>
      </c>
      <c r="V76" s="953">
        <f>IF($V$2&lt;4,SUMIFS(РегСкидка!$C$3:$C$619,РегСкидка!$D$3:$D$619,INDEX('Доставка по областям'!$G$2:$G$90,'ФАСАД Рязань'!$Q$5),РегСкидка!$B$3:$B$619,T76,РегСкидка!$E$3:$E$619,$V$7)/100*IF(OR($V$3=1,$V$3=2,$V$3=3,$V$3=4),1,0),0)</f>
        <v>0</v>
      </c>
      <c r="W76" s="1230"/>
      <c r="X76" s="4"/>
      <c r="Y76" s="82"/>
      <c r="Z76" s="82"/>
      <c r="AA76" s="2"/>
    </row>
    <row r="77" spans="1:27" ht="20.100000000000001" customHeight="1" thickBot="1" x14ac:dyDescent="0.3">
      <c r="A77" s="869"/>
      <c r="B77" s="12">
        <v>1200</v>
      </c>
      <c r="C77" s="13">
        <v>600</v>
      </c>
      <c r="D77" s="14">
        <v>150</v>
      </c>
      <c r="E77" s="238" t="s">
        <v>339</v>
      </c>
      <c r="F77" s="107">
        <v>74.074074074074076</v>
      </c>
      <c r="G77" s="116">
        <v>10.716735253772292</v>
      </c>
      <c r="H77" s="219" t="s">
        <v>484</v>
      </c>
      <c r="I77" s="592">
        <f>IF(E77="C",ROUNDUP(10000/135/ФасадDDP!O77,0)*ФасадDDP!O77," ")</f>
        <v>76.031999999999996</v>
      </c>
      <c r="J77" s="47">
        <v>2</v>
      </c>
      <c r="K77" s="188">
        <v>1.4400000000000002</v>
      </c>
      <c r="L77" s="182">
        <v>0.216</v>
      </c>
      <c r="M77" s="47">
        <v>32</v>
      </c>
      <c r="N77" s="182">
        <v>6.9119999999999999</v>
      </c>
      <c r="O77" s="194">
        <v>76.031999999999996</v>
      </c>
      <c r="P77" s="48"/>
      <c r="Q77" s="88">
        <f t="shared" si="3"/>
        <v>1238.328</v>
      </c>
      <c r="R77" s="657">
        <v>5733</v>
      </c>
      <c r="S77" s="38">
        <v>610.82249999999999</v>
      </c>
      <c r="T77" s="745" t="s">
        <v>584</v>
      </c>
      <c r="V77" s="953">
        <f>IF($V$2&lt;4,SUMIFS(РегСкидка!$C$3:$C$619,РегСкидка!$D$3:$D$619,INDEX('Доставка по областям'!$G$2:$G$90,'ФАСАД Рязань'!$Q$5),РегСкидка!$B$3:$B$619,T77,РегСкидка!$E$3:$E$619,$V$7)/100*IF(OR($V$3=1,$V$3=2,$V$3=3,$V$3=4),1,0),0)</f>
        <v>0</v>
      </c>
      <c r="W77" s="1230"/>
      <c r="X77" s="4"/>
      <c r="Y77" s="82"/>
      <c r="AA77" s="2"/>
    </row>
    <row r="78" spans="1:27" ht="20.100000000000001" customHeight="1" thickBot="1" x14ac:dyDescent="0.3">
      <c r="A78" s="761"/>
      <c r="B78" s="203">
        <v>1200</v>
      </c>
      <c r="C78" s="204">
        <v>600</v>
      </c>
      <c r="D78" s="209">
        <v>160</v>
      </c>
      <c r="E78" s="238" t="s">
        <v>339</v>
      </c>
      <c r="F78" s="263">
        <v>74.074074074074076</v>
      </c>
      <c r="G78" s="263">
        <v>11.690983913206136</v>
      </c>
      <c r="H78" s="264" t="s">
        <v>575</v>
      </c>
      <c r="I78" s="592">
        <f>IF(E78="C",ROUNDUP(10000/135/ФасадDDP!O78,0)*ФасадDDP!O78," ")</f>
        <v>77.414399999999986</v>
      </c>
      <c r="J78" s="97">
        <v>2</v>
      </c>
      <c r="K78" s="265">
        <v>1.4400000000000002</v>
      </c>
      <c r="L78" s="126">
        <v>0.15840000000000001</v>
      </c>
      <c r="M78" s="97">
        <v>28</v>
      </c>
      <c r="N78" s="126">
        <v>6.4511999999999992</v>
      </c>
      <c r="O78" s="227">
        <v>70.963199999999986</v>
      </c>
      <c r="P78" s="266"/>
      <c r="Q78" s="88">
        <f t="shared" si="2"/>
        <v>908.10720000000003</v>
      </c>
      <c r="R78" s="657">
        <v>5733</v>
      </c>
      <c r="S78" s="104">
        <v>447.93649999999997</v>
      </c>
      <c r="T78" s="745" t="s">
        <v>584</v>
      </c>
      <c r="V78" s="953">
        <f>IF($V$2&lt;4,SUMIFS(РегСкидка!$C$3:$C$619,РегСкидка!$D$3:$D$619,INDEX('Доставка по областям'!$G$2:$G$90,'ФАСАД Рязань'!$Q$5),РегСкидка!$B$3:$B$619,T78,РегСкидка!$E$3:$E$619,$V$7)/100*IF(OR($V$3=1,$V$3=2,$V$3=3,$V$3=4),1,0),0)</f>
        <v>0</v>
      </c>
      <c r="W78" s="1230"/>
      <c r="X78" s="4"/>
      <c r="Y78" s="82"/>
      <c r="Z78" s="82"/>
      <c r="AA78" s="2"/>
    </row>
    <row r="79" spans="1:27" ht="20.100000000000001" customHeight="1" thickBot="1" x14ac:dyDescent="0.3">
      <c r="A79" s="761"/>
      <c r="B79" s="203">
        <v>1200</v>
      </c>
      <c r="C79" s="204">
        <v>600</v>
      </c>
      <c r="D79" s="209">
        <v>170</v>
      </c>
      <c r="E79" s="238" t="s">
        <v>339</v>
      </c>
      <c r="F79" s="263"/>
      <c r="G79" s="263">
        <v>0</v>
      </c>
      <c r="H79" s="264" t="s">
        <v>576</v>
      </c>
      <c r="I79" s="592">
        <f>IF(E79="C",ROUNDUP(10000/135/ФасадDDP!O79,0)*ФасадDDP!O79," ")</f>
        <v>75.398399999999995</v>
      </c>
      <c r="J79" s="97">
        <v>2</v>
      </c>
      <c r="K79" s="265">
        <v>1.4400000000000002</v>
      </c>
      <c r="L79" s="126">
        <v>0.17280000000000001</v>
      </c>
      <c r="M79" s="97">
        <v>28</v>
      </c>
      <c r="N79" s="126">
        <v>6.8544</v>
      </c>
      <c r="O79" s="227">
        <v>75.398399999999995</v>
      </c>
      <c r="P79" s="266"/>
      <c r="Q79" s="88">
        <f t="shared" si="2"/>
        <v>990.66240000000005</v>
      </c>
      <c r="R79" s="657">
        <v>5733</v>
      </c>
      <c r="S79" s="105">
        <v>488.65799999999996</v>
      </c>
      <c r="T79" s="745" t="s">
        <v>584</v>
      </c>
      <c r="V79" s="953">
        <f>IF($V$2&lt;4,SUMIFS(РегСкидка!$C$3:$C$619,РегСкидка!$D$3:$D$619,INDEX('Доставка по областям'!$G$2:$G$90,'ФАСАД Рязань'!$Q$5),РегСкидка!$B$3:$B$619,T79,РегСкидка!$E$3:$E$619,$V$7)/100*IF(OR($V$3=1,$V$3=2,$V$3=3,$V$3=4),1,0),0)</f>
        <v>0</v>
      </c>
      <c r="W79" s="1230"/>
      <c r="X79" s="4"/>
      <c r="Y79" s="82"/>
      <c r="AA79" s="2"/>
    </row>
    <row r="80" spans="1:27" ht="20.100000000000001" customHeight="1" thickBot="1" x14ac:dyDescent="0.3">
      <c r="A80" s="761"/>
      <c r="B80" s="203">
        <v>1200</v>
      </c>
      <c r="C80" s="204">
        <v>600</v>
      </c>
      <c r="D80" s="209">
        <v>180</v>
      </c>
      <c r="E80" s="238" t="s">
        <v>339</v>
      </c>
      <c r="F80" s="263">
        <v>74.074074074074076</v>
      </c>
      <c r="G80" s="263">
        <v>10.991523337202349</v>
      </c>
      <c r="H80" s="264" t="s">
        <v>577</v>
      </c>
      <c r="I80" s="592">
        <f>IF(E80="C",ROUNDUP(10000/135/ФасадDDP!O80,0)*ФасадDDP!O80," ")</f>
        <v>74.649599999999992</v>
      </c>
      <c r="J80" s="97">
        <v>2</v>
      </c>
      <c r="K80" s="265">
        <v>1.4400000000000002</v>
      </c>
      <c r="L80" s="126">
        <v>0.18720000000000001</v>
      </c>
      <c r="M80" s="97">
        <v>24</v>
      </c>
      <c r="N80" s="126">
        <v>6.2207999999999997</v>
      </c>
      <c r="O80" s="227">
        <v>68.428799999999995</v>
      </c>
      <c r="P80" s="266"/>
      <c r="Q80" s="88">
        <f t="shared" si="2"/>
        <v>1073.2175999999999</v>
      </c>
      <c r="R80" s="657">
        <v>5733</v>
      </c>
      <c r="S80" s="103">
        <v>529.37950000000001</v>
      </c>
      <c r="T80" s="745" t="s">
        <v>584</v>
      </c>
      <c r="V80" s="953">
        <f>IF($V$2&lt;4,SUMIFS(РегСкидка!$C$3:$C$619,РегСкидка!$D$3:$D$619,INDEX('Доставка по областям'!$G$2:$G$90,'ФАСАД Рязань'!$Q$5),РегСкидка!$B$3:$B$619,T80,РегСкидка!$E$3:$E$619,$V$7)/100*IF(OR($V$3=1,$V$3=2,$V$3=3,$V$3=4),1,0),0)</f>
        <v>0</v>
      </c>
      <c r="W80" s="1230"/>
      <c r="X80" s="4"/>
      <c r="Y80" s="82"/>
      <c r="AA80" s="2"/>
    </row>
    <row r="81" spans="1:28" ht="20.100000000000001" customHeight="1" thickBot="1" x14ac:dyDescent="0.3">
      <c r="A81" s="761"/>
      <c r="B81" s="12">
        <v>1200</v>
      </c>
      <c r="C81" s="13">
        <v>600</v>
      </c>
      <c r="D81" s="14">
        <v>190</v>
      </c>
      <c r="E81" s="238" t="s">
        <v>339</v>
      </c>
      <c r="F81" s="107">
        <v>74.074074074074076</v>
      </c>
      <c r="G81" s="116">
        <v>11.482216343327455</v>
      </c>
      <c r="H81" s="219" t="s">
        <v>578</v>
      </c>
      <c r="I81" s="592">
        <f>IF(E81="C",ROUNDUP(10000/135/ФасадDDP!O81,0)*ФасадDDP!O81," ")</f>
        <v>78.79679999999999</v>
      </c>
      <c r="J81" s="47">
        <v>2</v>
      </c>
      <c r="K81" s="188">
        <v>1.4400000000000002</v>
      </c>
      <c r="L81" s="182">
        <v>0.2016</v>
      </c>
      <c r="M81" s="47">
        <v>24</v>
      </c>
      <c r="N81" s="182">
        <v>6.5663999999999989</v>
      </c>
      <c r="O81" s="194">
        <v>72.230399999999989</v>
      </c>
      <c r="P81" s="48"/>
      <c r="Q81" s="88">
        <f t="shared" si="2"/>
        <v>1155.7728</v>
      </c>
      <c r="R81" s="657">
        <v>5733</v>
      </c>
      <c r="S81" s="38">
        <v>570.101</v>
      </c>
      <c r="T81" s="745" t="s">
        <v>584</v>
      </c>
      <c r="V81" s="953">
        <f>IF($V$2&lt;4,SUMIFS(РегСкидка!$C$3:$C$619,РегСкидка!$D$3:$D$619,INDEX('Доставка по областям'!$G$2:$G$90,'ФАСАД Рязань'!$Q$5),РегСкидка!$B$3:$B$619,T81,РегСкидка!$E$3:$E$619,$V$7)/100*IF(OR($V$3=1,$V$3=2,$V$3=3,$V$3=4),1,0),0)</f>
        <v>0</v>
      </c>
      <c r="W81" s="1230"/>
      <c r="X81" s="4"/>
      <c r="Y81" s="82"/>
      <c r="Z81" s="82"/>
      <c r="AA81" s="2"/>
    </row>
    <row r="82" spans="1:28" ht="20.100000000000001" customHeight="1" thickBot="1" x14ac:dyDescent="0.3">
      <c r="A82" s="761"/>
      <c r="B82" s="15">
        <v>1200</v>
      </c>
      <c r="C82" s="16">
        <v>600</v>
      </c>
      <c r="D82" s="17">
        <v>200</v>
      </c>
      <c r="E82" s="238" t="s">
        <v>339</v>
      </c>
      <c r="F82" s="108">
        <v>74.074074074074076</v>
      </c>
      <c r="G82" s="444">
        <v>10.716735253772292</v>
      </c>
      <c r="H82" s="442" t="s">
        <v>579</v>
      </c>
      <c r="I82" s="593">
        <f>IF(E82="C",ROUNDUP(10000/135/ФасадDDP!O82,0)*ФасадDDP!O82," ")</f>
        <v>76.031999999999982</v>
      </c>
      <c r="J82" s="49">
        <v>1</v>
      </c>
      <c r="K82" s="456">
        <v>1.4400000000000002</v>
      </c>
      <c r="L82" s="184">
        <v>0.216</v>
      </c>
      <c r="M82" s="49">
        <v>48</v>
      </c>
      <c r="N82" s="184">
        <v>6.911999999999999</v>
      </c>
      <c r="O82" s="457">
        <v>76.031999999999982</v>
      </c>
      <c r="P82" s="50"/>
      <c r="Q82" s="479">
        <f t="shared" si="2"/>
        <v>1238.328</v>
      </c>
      <c r="R82" s="262">
        <v>5733</v>
      </c>
      <c r="S82" s="40">
        <v>610.82249999999999</v>
      </c>
      <c r="T82" s="745" t="s">
        <v>584</v>
      </c>
      <c r="V82" s="953">
        <f>IF($V$2&lt;4,SUMIFS(РегСкидка!$C$3:$C$619,РегСкидка!$D$3:$D$619,INDEX('Доставка по областям'!$G$2:$G$90,'ФАСАД Рязань'!$Q$5),РегСкидка!$B$3:$B$619,T82,РегСкидка!$E$3:$E$619,$V$7)/100*IF(OR($V$3=1,$V$3=2,$V$3=3,$V$3=4),1,0),0)</f>
        <v>0</v>
      </c>
      <c r="W82" s="1230"/>
      <c r="X82" s="4"/>
      <c r="Y82" s="82"/>
      <c r="AA82" s="2"/>
    </row>
    <row r="83" spans="1:28" ht="20.100000000000001" customHeight="1" thickBot="1" x14ac:dyDescent="0.3">
      <c r="A83" s="35" t="s">
        <v>486</v>
      </c>
      <c r="B83" s="252">
        <v>1200</v>
      </c>
      <c r="C83" s="250">
        <v>600</v>
      </c>
      <c r="D83" s="251">
        <v>50</v>
      </c>
      <c r="E83" s="238" t="s">
        <v>339</v>
      </c>
      <c r="F83" s="319"/>
      <c r="G83" s="319">
        <v>0</v>
      </c>
      <c r="H83" s="310" t="s">
        <v>711</v>
      </c>
      <c r="I83" s="178">
        <f>IF(E83="C",ROUNDUP(10000/90/ФасадDDP!O83,0)*ФасадDDP!O83," ")</f>
        <v>117.504</v>
      </c>
      <c r="J83" s="311">
        <v>6</v>
      </c>
      <c r="K83" s="265">
        <v>3.6</v>
      </c>
      <c r="L83" s="132">
        <v>0.18</v>
      </c>
      <c r="M83" s="320">
        <v>32</v>
      </c>
      <c r="N83" s="132">
        <v>6.9119999999999999</v>
      </c>
      <c r="O83" s="226">
        <v>76.031999999999996</v>
      </c>
      <c r="P83" s="321"/>
      <c r="Q83" s="88">
        <f>L83*R83</f>
        <v>711.72</v>
      </c>
      <c r="R83" s="656">
        <v>3954</v>
      </c>
      <c r="S83" s="286">
        <v>203.60749999999996</v>
      </c>
      <c r="T83" s="745" t="s">
        <v>584</v>
      </c>
      <c r="V83" s="953">
        <f>IF($V$2&lt;4,SUMIFS(РегСкидка!$C$3:$C$619,РегСкидка!$D$3:$D$619,INDEX('Доставка по областям'!$G$2:$G$90,'ФАСАД Рязань'!$Q$5),РегСкидка!$B$3:$B$619,T83,РегСкидка!$E$3:$E$619,$V$7)/100*IF(OR($V$3=1,$V$3=2,$V$3=3,$V$3=4),1,0),0)</f>
        <v>0</v>
      </c>
      <c r="W83" s="1230"/>
      <c r="X83" s="4"/>
      <c r="Y83" s="82"/>
      <c r="AA83" s="2"/>
    </row>
    <row r="84" spans="1:28" ht="20.100000000000001" customHeight="1" thickBot="1" x14ac:dyDescent="0.3">
      <c r="A84" s="762"/>
      <c r="B84" s="203">
        <v>1200</v>
      </c>
      <c r="C84" s="204">
        <v>600</v>
      </c>
      <c r="D84" s="209">
        <v>60</v>
      </c>
      <c r="E84" s="238" t="s">
        <v>339</v>
      </c>
      <c r="F84" s="263">
        <v>71.428571428571431</v>
      </c>
      <c r="G84" s="263">
        <v>10.333994708994709</v>
      </c>
      <c r="H84" s="264"/>
      <c r="I84" s="177">
        <f>IF(E84="C",ROUNDUP(10000/90/ФасадDDP!O84,0)*ФасадDDP!O84," ")</f>
        <v>117.50399999999999</v>
      </c>
      <c r="J84" s="97">
        <v>4</v>
      </c>
      <c r="K84" s="265">
        <v>2.8800000000000003</v>
      </c>
      <c r="L84" s="126">
        <v>0.17280000000000001</v>
      </c>
      <c r="M84" s="97">
        <v>40</v>
      </c>
      <c r="N84" s="126">
        <v>6.9120000000000008</v>
      </c>
      <c r="O84" s="227">
        <v>76.032000000000011</v>
      </c>
      <c r="P84" s="266"/>
      <c r="Q84" s="88">
        <f t="shared" ref="Q84:Q93" si="4">L84*R84</f>
        <v>683.25120000000004</v>
      </c>
      <c r="R84" s="657">
        <v>3954</v>
      </c>
      <c r="S84" s="276">
        <v>244.32899999999998</v>
      </c>
      <c r="T84" s="745" t="s">
        <v>584</v>
      </c>
      <c r="V84" s="953">
        <f>IF($V$2&lt;4,SUMIFS(РегСкидка!$C$3:$C$619,РегСкидка!$D$3:$D$619,INDEX('Доставка по областям'!$G$2:$G$90,'ФАСАД Рязань'!$Q$5),РегСкидка!$B$3:$B$619,T84,РегСкидка!$E$3:$E$619,$V$7)/100*IF(OR($V$3=1,$V$3=2,$V$3=3,$V$3=4),1,0),0)</f>
        <v>0</v>
      </c>
      <c r="W84" s="1230"/>
      <c r="X84" s="4"/>
      <c r="Y84" s="82"/>
      <c r="AA84" s="2"/>
    </row>
    <row r="85" spans="1:28" ht="20.100000000000001" customHeight="1" thickBot="1" x14ac:dyDescent="0.3">
      <c r="A85" s="762"/>
      <c r="B85" s="203">
        <v>1200</v>
      </c>
      <c r="C85" s="204">
        <v>600</v>
      </c>
      <c r="D85" s="209">
        <v>70</v>
      </c>
      <c r="E85" s="238" t="s">
        <v>339</v>
      </c>
      <c r="F85" s="263">
        <v>71.428571428571431</v>
      </c>
      <c r="G85" s="263">
        <v>10.736617879475023</v>
      </c>
      <c r="H85" s="264"/>
      <c r="I85" s="177">
        <f>IF(E85="C",ROUNDUP(10000/90/ФасадDDP!O85,0)*ФасадDDP!O85," ")</f>
        <v>113.09760000000001</v>
      </c>
      <c r="J85" s="97">
        <v>3</v>
      </c>
      <c r="K85" s="265">
        <v>2.16</v>
      </c>
      <c r="L85" s="126">
        <v>0.1512</v>
      </c>
      <c r="M85" s="97">
        <v>44</v>
      </c>
      <c r="N85" s="126">
        <v>6.6528</v>
      </c>
      <c r="O85" s="227">
        <v>73.180800000000005</v>
      </c>
      <c r="P85" s="266"/>
      <c r="Q85" s="88">
        <f t="shared" si="4"/>
        <v>597.84479999999996</v>
      </c>
      <c r="R85" s="657">
        <v>3954</v>
      </c>
      <c r="S85" s="267">
        <v>285.0505</v>
      </c>
      <c r="T85" s="745" t="s">
        <v>584</v>
      </c>
      <c r="V85" s="953">
        <f>IF($V$2&lt;4,SUMIFS(РегСкидка!$C$3:$C$619,РегСкидка!$D$3:$D$619,INDEX('Доставка по областям'!$G$2:$G$90,'ФАСАД Рязань'!$Q$5),РегСкидка!$B$3:$B$619,T85,РегСкидка!$E$3:$E$619,$V$7)/100*IF(OR($V$3=1,$V$3=2,$V$3=3,$V$3=4),1,0),0)</f>
        <v>0</v>
      </c>
      <c r="W85" s="1230"/>
      <c r="X85" s="4"/>
      <c r="Y85" s="82"/>
      <c r="AA85" s="2"/>
    </row>
    <row r="86" spans="1:28" ht="20.100000000000001" customHeight="1" thickBot="1" x14ac:dyDescent="0.3">
      <c r="A86" s="762"/>
      <c r="B86" s="203">
        <v>1200</v>
      </c>
      <c r="C86" s="204">
        <v>600</v>
      </c>
      <c r="D86" s="209">
        <v>80</v>
      </c>
      <c r="E86" s="238" t="s">
        <v>339</v>
      </c>
      <c r="F86" s="263"/>
      <c r="G86" s="263">
        <v>0</v>
      </c>
      <c r="H86" s="264"/>
      <c r="I86" s="177">
        <f>IF(E86="C",ROUNDUP(10000/90/ФасадDDP!O86,0)*ФасадDDP!O86," ")</f>
        <v>117.50400000000002</v>
      </c>
      <c r="J86" s="274">
        <v>3</v>
      </c>
      <c r="K86" s="265">
        <v>2.16</v>
      </c>
      <c r="L86" s="126">
        <v>0.17280000000000001</v>
      </c>
      <c r="M86" s="97">
        <v>40</v>
      </c>
      <c r="N86" s="126">
        <v>6.9120000000000008</v>
      </c>
      <c r="O86" s="227">
        <v>76.032000000000011</v>
      </c>
      <c r="P86" s="266"/>
      <c r="Q86" s="88">
        <f t="shared" si="4"/>
        <v>683.25120000000004</v>
      </c>
      <c r="R86" s="657">
        <v>3954</v>
      </c>
      <c r="S86" s="38">
        <v>325.77199999999999</v>
      </c>
      <c r="T86" s="745" t="s">
        <v>584</v>
      </c>
      <c r="V86" s="953">
        <f>IF($V$2&lt;4,SUMIFS(РегСкидка!$C$3:$C$619,РегСкидка!$D$3:$D$619,INDEX('Доставка по областям'!$G$2:$G$90,'ФАСАД Рязань'!$Q$5),РегСкидка!$B$3:$B$619,T86,РегСкидка!$E$3:$E$619,$V$7)/100*IF(OR($V$3=1,$V$3=2,$V$3=3,$V$3=4),1,0),0)</f>
        <v>0</v>
      </c>
      <c r="W86" s="1230"/>
      <c r="X86" s="4"/>
      <c r="Y86" s="82"/>
      <c r="AA86" s="2"/>
    </row>
    <row r="87" spans="1:28" ht="20.100000000000001" customHeight="1" thickBot="1" x14ac:dyDescent="0.3">
      <c r="A87" s="762"/>
      <c r="B87" s="203">
        <v>1200</v>
      </c>
      <c r="C87" s="204">
        <v>600</v>
      </c>
      <c r="D87" s="209">
        <v>90</v>
      </c>
      <c r="E87" s="238" t="s">
        <v>339</v>
      </c>
      <c r="F87" s="263">
        <v>71.428571428571431</v>
      </c>
      <c r="G87" s="263">
        <v>11.482216343327455</v>
      </c>
      <c r="H87" s="264"/>
      <c r="I87" s="177">
        <f>IF(E87="C",ROUNDUP(10000/90/ФасадDDP!O87,0)*ФасадDDP!O87," ")</f>
        <v>111.9744</v>
      </c>
      <c r="J87" s="274">
        <v>3</v>
      </c>
      <c r="K87" s="322">
        <v>2.16</v>
      </c>
      <c r="L87" s="126">
        <v>0.19439999999999999</v>
      </c>
      <c r="M87" s="97">
        <v>32</v>
      </c>
      <c r="N87" s="126">
        <v>6.2207999999999997</v>
      </c>
      <c r="O87" s="227">
        <v>68.428799999999995</v>
      </c>
      <c r="P87" s="266"/>
      <c r="Q87" s="88">
        <f t="shared" si="4"/>
        <v>768.6576</v>
      </c>
      <c r="R87" s="657">
        <v>3954</v>
      </c>
      <c r="S87" s="104">
        <v>366.49349999999993</v>
      </c>
      <c r="T87" s="745" t="s">
        <v>584</v>
      </c>
      <c r="V87" s="953">
        <f>IF($V$2&lt;4,SUMIFS(РегСкидка!$C$3:$C$619,РегСкидка!$D$3:$D$619,INDEX('Доставка по областям'!$G$2:$G$90,'ФАСАД Рязань'!$Q$5),РегСкидка!$B$3:$B$619,T87,РегСкидка!$E$3:$E$619,$V$7)/100*IF(OR($V$3=1,$V$3=2,$V$3=3,$V$3=4),1,0),0)</f>
        <v>0</v>
      </c>
      <c r="W87" s="1230"/>
      <c r="X87" s="4"/>
      <c r="Y87" s="82"/>
      <c r="Z87" s="82"/>
      <c r="AA87" s="2"/>
    </row>
    <row r="88" spans="1:28" ht="19.5" customHeight="1" thickBot="1" x14ac:dyDescent="0.3">
      <c r="A88" s="762"/>
      <c r="B88" s="203">
        <v>1200</v>
      </c>
      <c r="C88" s="204">
        <v>600</v>
      </c>
      <c r="D88" s="209">
        <v>100</v>
      </c>
      <c r="E88" s="238" t="s">
        <v>339</v>
      </c>
      <c r="F88" s="263"/>
      <c r="G88" s="263">
        <v>0</v>
      </c>
      <c r="H88" s="264"/>
      <c r="I88" s="177">
        <f>IF(E88="C",ROUNDUP(10000/90/ФасадDDP!O88,0)*ФасадDDP!O88," ")</f>
        <v>117.504</v>
      </c>
      <c r="J88" s="97">
        <v>3</v>
      </c>
      <c r="K88" s="265">
        <v>2.16</v>
      </c>
      <c r="L88" s="126">
        <v>0.216</v>
      </c>
      <c r="M88" s="97">
        <v>32</v>
      </c>
      <c r="N88" s="126">
        <v>6.9119999999999999</v>
      </c>
      <c r="O88" s="227">
        <v>76.031999999999996</v>
      </c>
      <c r="P88" s="266"/>
      <c r="Q88" s="88">
        <f t="shared" si="4"/>
        <v>854.06399999999996</v>
      </c>
      <c r="R88" s="657">
        <v>3954</v>
      </c>
      <c r="S88" s="267">
        <v>407.21499999999992</v>
      </c>
      <c r="T88" s="745" t="s">
        <v>584</v>
      </c>
      <c r="V88" s="953">
        <f>IF($V$2&lt;4,SUMIFS(РегСкидка!$C$3:$C$619,РегСкидка!$D$3:$D$619,INDEX('Доставка по областям'!$G$2:$G$90,'ФАСАД Рязань'!$Q$5),РегСкидка!$B$3:$B$619,T88,РегСкидка!$E$3:$E$619,$V$7)/100*IF(OR($V$3=1,$V$3=2,$V$3=3,$V$3=4),1,0),0)</f>
        <v>0</v>
      </c>
      <c r="W88" s="1230"/>
      <c r="X88" s="4"/>
      <c r="Y88" s="82"/>
      <c r="AA88" s="2"/>
    </row>
    <row r="89" spans="1:28" ht="20.100000000000001" customHeight="1" thickBot="1" x14ac:dyDescent="0.3">
      <c r="A89" s="762"/>
      <c r="B89" s="203">
        <v>1200</v>
      </c>
      <c r="C89" s="204">
        <v>600</v>
      </c>
      <c r="D89" s="209">
        <v>110</v>
      </c>
      <c r="E89" s="238" t="s">
        <v>339</v>
      </c>
      <c r="F89" s="263">
        <v>74.074074074074076</v>
      </c>
      <c r="G89" s="263">
        <v>11.690983913206136</v>
      </c>
      <c r="H89" s="264"/>
      <c r="I89" s="177">
        <f>IF(E89="C",ROUNDUP(10000/90/ФасадDDP!O89,0)*ФасадDDP!O89," ")</f>
        <v>114.048</v>
      </c>
      <c r="J89" s="97">
        <v>2</v>
      </c>
      <c r="K89" s="265">
        <v>1.4400000000000002</v>
      </c>
      <c r="L89" s="126">
        <v>0.15840000000000001</v>
      </c>
      <c r="M89" s="97">
        <v>40</v>
      </c>
      <c r="N89" s="126">
        <v>6.3360000000000003</v>
      </c>
      <c r="O89" s="227">
        <v>69.695999999999998</v>
      </c>
      <c r="P89" s="266"/>
      <c r="Q89" s="88">
        <f t="shared" si="4"/>
        <v>626.31360000000006</v>
      </c>
      <c r="R89" s="657">
        <v>3954</v>
      </c>
      <c r="S89" s="104">
        <v>447.93649999999997</v>
      </c>
      <c r="T89" s="745" t="s">
        <v>584</v>
      </c>
      <c r="V89" s="953">
        <f>IF($V$2&lt;4,SUMIFS(РегСкидка!$C$3:$C$619,РегСкидка!$D$3:$D$619,INDEX('Доставка по областям'!$G$2:$G$90,'ФАСАД Рязань'!$Q$5),РегСкидка!$B$3:$B$619,T89,РегСкидка!$E$3:$E$619,$V$7)/100*IF(OR($V$3=1,$V$3=2,$V$3=3,$V$3=4),1,0),0)</f>
        <v>0</v>
      </c>
      <c r="W89" s="1230"/>
      <c r="X89" s="4"/>
      <c r="Y89" s="82"/>
      <c r="Z89" s="82"/>
      <c r="AA89" s="2"/>
    </row>
    <row r="90" spans="1:28" ht="20.100000000000001" customHeight="1" thickBot="1" x14ac:dyDescent="0.3">
      <c r="A90" s="762"/>
      <c r="B90" s="203">
        <v>1200</v>
      </c>
      <c r="C90" s="204">
        <v>600</v>
      </c>
      <c r="D90" s="209">
        <v>120</v>
      </c>
      <c r="E90" s="238" t="s">
        <v>339</v>
      </c>
      <c r="F90" s="263"/>
      <c r="G90" s="263">
        <v>0</v>
      </c>
      <c r="H90" s="264"/>
      <c r="I90" s="177">
        <f>IF(E90="C",ROUNDUP(10000/90/ФасадDDP!O90,0)*ФасадDDP!O90," ")</f>
        <v>117.50399999999999</v>
      </c>
      <c r="J90" s="97">
        <v>2</v>
      </c>
      <c r="K90" s="265">
        <v>1.4400000000000002</v>
      </c>
      <c r="L90" s="126">
        <v>0.17280000000000001</v>
      </c>
      <c r="M90" s="97">
        <v>40</v>
      </c>
      <c r="N90" s="126">
        <v>6.9120000000000008</v>
      </c>
      <c r="O90" s="227">
        <v>76.032000000000011</v>
      </c>
      <c r="P90" s="266"/>
      <c r="Q90" s="88">
        <f t="shared" si="4"/>
        <v>683.25120000000004</v>
      </c>
      <c r="R90" s="657">
        <v>3954</v>
      </c>
      <c r="S90" s="105">
        <v>488.65799999999996</v>
      </c>
      <c r="T90" s="745" t="s">
        <v>584</v>
      </c>
      <c r="V90" s="953">
        <f>IF($V$2&lt;4,SUMIFS(РегСкидка!$C$3:$C$619,РегСкидка!$D$3:$D$619,INDEX('Доставка по областям'!$G$2:$G$90,'ФАСАД Рязань'!$Q$5),РегСкидка!$B$3:$B$619,T90,РегСкидка!$E$3:$E$619,$V$7)/100*IF(OR($V$3=1,$V$3=2,$V$3=3,$V$3=4),1,0),0)</f>
        <v>0</v>
      </c>
      <c r="W90" s="1230"/>
      <c r="X90" s="4"/>
      <c r="Y90" s="82"/>
      <c r="AA90" s="2"/>
    </row>
    <row r="91" spans="1:28" ht="20.100000000000001" customHeight="1" thickBot="1" x14ac:dyDescent="0.3">
      <c r="A91" s="762"/>
      <c r="B91" s="203">
        <v>1200</v>
      </c>
      <c r="C91" s="204">
        <v>600</v>
      </c>
      <c r="D91" s="209">
        <v>130</v>
      </c>
      <c r="E91" s="238" t="s">
        <v>339</v>
      </c>
      <c r="F91" s="263">
        <v>74.074074074074076</v>
      </c>
      <c r="G91" s="263">
        <v>10.991523337202349</v>
      </c>
      <c r="H91" s="264"/>
      <c r="I91" s="177">
        <f>IF(E91="C",ROUNDUP(10000/90/ФасадDDP!O91,0)*ФасадDDP!O91," ")</f>
        <v>114.56639999999999</v>
      </c>
      <c r="J91" s="97">
        <v>2</v>
      </c>
      <c r="K91" s="265">
        <v>1.4400000000000002</v>
      </c>
      <c r="L91" s="126">
        <v>0.18720000000000001</v>
      </c>
      <c r="M91" s="97">
        <v>36</v>
      </c>
      <c r="N91" s="126">
        <v>6.7392000000000003</v>
      </c>
      <c r="O91" s="227">
        <v>74.131200000000007</v>
      </c>
      <c r="P91" s="266"/>
      <c r="Q91" s="88">
        <f t="shared" si="4"/>
        <v>740.18880000000001</v>
      </c>
      <c r="R91" s="657">
        <v>3954</v>
      </c>
      <c r="S91" s="103">
        <v>529.37950000000001</v>
      </c>
      <c r="T91" s="745" t="s">
        <v>584</v>
      </c>
      <c r="V91" s="953">
        <f>IF($V$2&lt;4,SUMIFS(РегСкидка!$C$3:$C$619,РегСкидка!$D$3:$D$619,INDEX('Доставка по областям'!$G$2:$G$90,'ФАСАД Рязань'!$Q$5),РегСкидка!$B$3:$B$619,T91,РегСкидка!$E$3:$E$619,$V$7)/100*IF(OR($V$3=1,$V$3=2,$V$3=3,$V$3=4),1,0),0)</f>
        <v>0</v>
      </c>
      <c r="W91" s="1230"/>
      <c r="X91" s="4"/>
      <c r="Y91" s="82"/>
      <c r="AA91" s="2"/>
    </row>
    <row r="92" spans="1:28" ht="20.100000000000001" customHeight="1" thickBot="1" x14ac:dyDescent="0.3">
      <c r="A92" s="762"/>
      <c r="B92" s="12">
        <v>1200</v>
      </c>
      <c r="C92" s="13">
        <v>600</v>
      </c>
      <c r="D92" s="14">
        <v>140</v>
      </c>
      <c r="E92" s="238" t="s">
        <v>339</v>
      </c>
      <c r="F92" s="107">
        <v>74.074074074074076</v>
      </c>
      <c r="G92" s="116">
        <v>11.482216343327455</v>
      </c>
      <c r="H92" s="219"/>
      <c r="I92" s="177">
        <f>IF(E92="C",ROUNDUP(10000/90/ФасадDDP!O92,0)*ФасадDDP!O92," ")</f>
        <v>116.1216</v>
      </c>
      <c r="J92" s="47">
        <v>2</v>
      </c>
      <c r="K92" s="188">
        <v>1.4400000000000002</v>
      </c>
      <c r="L92" s="182">
        <v>0.2016</v>
      </c>
      <c r="M92" s="47">
        <v>32</v>
      </c>
      <c r="N92" s="182">
        <v>6.4512</v>
      </c>
      <c r="O92" s="194">
        <v>70.963200000000001</v>
      </c>
      <c r="P92" s="48"/>
      <c r="Q92" s="88">
        <f t="shared" si="4"/>
        <v>797.12639999999999</v>
      </c>
      <c r="R92" s="657">
        <v>3954</v>
      </c>
      <c r="S92" s="38">
        <v>570.101</v>
      </c>
      <c r="T92" s="745" t="s">
        <v>584</v>
      </c>
      <c r="V92" s="953">
        <f>IF($V$2&lt;4,SUMIFS(РегСкидка!$C$3:$C$619,РегСкидка!$D$3:$D$619,INDEX('Доставка по областям'!$G$2:$G$90,'ФАСАД Рязань'!$Q$5),РегСкидка!$B$3:$B$619,T92,РегСкидка!$E$3:$E$619,$V$7)/100*IF(OR($V$3=1,$V$3=2,$V$3=3,$V$3=4),1,0),0)</f>
        <v>0</v>
      </c>
      <c r="W92" s="1230"/>
      <c r="X92" s="4"/>
      <c r="Y92" s="82"/>
      <c r="Z92" s="82"/>
      <c r="AA92" s="2"/>
    </row>
    <row r="93" spans="1:28" ht="20.100000000000001" customHeight="1" thickBot="1" x14ac:dyDescent="0.3">
      <c r="A93" s="762"/>
      <c r="B93" s="15">
        <v>1200</v>
      </c>
      <c r="C93" s="16">
        <v>600</v>
      </c>
      <c r="D93" s="17">
        <v>150</v>
      </c>
      <c r="E93" s="238" t="s">
        <v>339</v>
      </c>
      <c r="F93" s="108">
        <v>74.074074074074076</v>
      </c>
      <c r="G93" s="444">
        <v>10.716735253772292</v>
      </c>
      <c r="H93" s="442"/>
      <c r="I93" s="445">
        <f>IF(E93="C",ROUNDUP(10000/90/ФасадDDP!O93,0)*ФасадDDP!O93," ")</f>
        <v>117.504</v>
      </c>
      <c r="J93" s="49">
        <v>2</v>
      </c>
      <c r="K93" s="456">
        <v>1.4400000000000002</v>
      </c>
      <c r="L93" s="184">
        <v>0.216</v>
      </c>
      <c r="M93" s="49">
        <v>32</v>
      </c>
      <c r="N93" s="184">
        <v>6.9119999999999999</v>
      </c>
      <c r="O93" s="457">
        <v>76.031999999999996</v>
      </c>
      <c r="P93" s="50"/>
      <c r="Q93" s="479">
        <f t="shared" si="4"/>
        <v>854.06399999999996</v>
      </c>
      <c r="R93" s="262">
        <v>3954</v>
      </c>
      <c r="S93" s="40">
        <v>610.82249999999999</v>
      </c>
      <c r="T93" s="745" t="s">
        <v>584</v>
      </c>
      <c r="V93" s="953">
        <f>IF($V$2&lt;4,SUMIFS(РегСкидка!$C$3:$C$619,РегСкидка!$D$3:$D$619,INDEX('Доставка по областям'!$G$2:$G$90,'ФАСАД Рязань'!$Q$5),РегСкидка!$B$3:$B$619,T93,РегСкидка!$E$3:$E$619,$V$7)/100*IF(OR($V$3=1,$V$3=2,$V$3=3,$V$3=4),1,0),0)</f>
        <v>0</v>
      </c>
      <c r="W93" s="1230"/>
      <c r="X93" s="4"/>
      <c r="Y93" s="82"/>
      <c r="AA93" s="2"/>
    </row>
    <row r="94" spans="1:28" ht="20.100000000000001" customHeight="1" x14ac:dyDescent="0.25">
      <c r="A94" s="8"/>
      <c r="B94" s="20"/>
      <c r="I94" s="138"/>
    </row>
    <row r="95" spans="1:28" ht="18.75" customHeight="1" x14ac:dyDescent="0.25">
      <c r="A95" s="1" t="s">
        <v>7</v>
      </c>
      <c r="E95" s="2"/>
      <c r="F95" s="2"/>
      <c r="G95" s="2"/>
      <c r="H95" s="2"/>
      <c r="I95" s="134"/>
      <c r="O95" s="1275" t="s">
        <v>21</v>
      </c>
      <c r="P95" s="1275"/>
      <c r="Q95" s="1275"/>
      <c r="R95" s="1275"/>
      <c r="S95" s="1275"/>
      <c r="X95" s="2"/>
      <c r="Y95" s="2"/>
      <c r="Z95" s="82"/>
      <c r="AA95" s="2"/>
      <c r="AB95" s="2"/>
    </row>
    <row r="96" spans="1:28" s="32" customFormat="1" ht="20.100000000000001" customHeight="1" x14ac:dyDescent="0.25">
      <c r="A96" s="471" t="s">
        <v>342</v>
      </c>
      <c r="J96" s="33"/>
      <c r="L96" s="34"/>
      <c r="M96" s="33"/>
      <c r="N96" s="59"/>
      <c r="O96" s="1244" t="s">
        <v>40</v>
      </c>
      <c r="P96" s="1244"/>
      <c r="Q96" s="1244"/>
      <c r="R96" s="1244"/>
      <c r="S96" s="1244"/>
      <c r="T96" s="745"/>
      <c r="U96" s="953"/>
      <c r="V96" s="745"/>
      <c r="Z96" s="84"/>
    </row>
    <row r="97" spans="1:28" ht="20.100000000000001" customHeight="1" x14ac:dyDescent="0.25">
      <c r="A97" s="26" t="s">
        <v>23</v>
      </c>
      <c r="E97" s="2"/>
      <c r="F97" s="2"/>
      <c r="G97" s="2"/>
      <c r="H97" s="2"/>
      <c r="I97" s="2"/>
      <c r="O97" s="1244" t="s">
        <v>39</v>
      </c>
      <c r="P97" s="1244"/>
      <c r="Q97" s="1244"/>
      <c r="R97" s="1244"/>
      <c r="S97" s="1244"/>
      <c r="X97" s="2"/>
      <c r="Y97" s="2"/>
      <c r="Z97" s="82"/>
      <c r="AA97" s="2"/>
      <c r="AB97" s="2"/>
    </row>
    <row r="98" spans="1:28" ht="20.100000000000001" customHeight="1" x14ac:dyDescent="0.25">
      <c r="A98" s="26" t="s">
        <v>24</v>
      </c>
      <c r="E98" s="2"/>
      <c r="F98" s="2"/>
      <c r="G98" s="2"/>
      <c r="H98" s="2"/>
      <c r="I98" s="2"/>
      <c r="O98" s="1245" t="s">
        <v>37</v>
      </c>
      <c r="P98" s="1245"/>
      <c r="Q98" s="1245"/>
      <c r="R98" s="1245"/>
      <c r="S98" s="1245"/>
      <c r="X98" s="2"/>
      <c r="Y98" s="2"/>
      <c r="Z98" s="82"/>
      <c r="AA98" s="2"/>
      <c r="AB98" s="2"/>
    </row>
    <row r="99" spans="1:28" ht="20.100000000000001" customHeight="1" x14ac:dyDescent="0.25">
      <c r="A99" s="26" t="s">
        <v>52</v>
      </c>
      <c r="E99" s="2"/>
      <c r="F99" s="2"/>
      <c r="G99" s="2"/>
      <c r="H99" s="2"/>
      <c r="I99" s="2"/>
      <c r="Q99" s="1245" t="s">
        <v>38</v>
      </c>
      <c r="R99" s="1245"/>
      <c r="S99" s="1245"/>
      <c r="T99" s="1029"/>
      <c r="W99" s="74"/>
      <c r="X99" s="74"/>
      <c r="Y99" s="2"/>
      <c r="Z99" s="82"/>
      <c r="AA99" s="2"/>
      <c r="AB99" s="2"/>
    </row>
    <row r="100" spans="1:28" ht="20.100000000000001" customHeight="1" x14ac:dyDescent="0.25">
      <c r="A100" s="30" t="s">
        <v>54</v>
      </c>
      <c r="E100" s="2"/>
      <c r="F100" s="2"/>
      <c r="G100" s="4"/>
      <c r="H100" s="2"/>
      <c r="I100" s="5"/>
      <c r="K100" s="56"/>
      <c r="X100" s="2"/>
      <c r="Y100" s="2"/>
      <c r="Z100" s="82"/>
      <c r="AA100" s="2"/>
      <c r="AB100" s="2"/>
    </row>
    <row r="101" spans="1:28" ht="20.100000000000001" customHeight="1" x14ac:dyDescent="0.25">
      <c r="A101" s="30" t="s">
        <v>240</v>
      </c>
      <c r="E101" s="2"/>
      <c r="F101" s="2"/>
      <c r="G101" s="4"/>
      <c r="H101" s="2"/>
      <c r="I101" s="5"/>
      <c r="K101" s="56"/>
      <c r="X101" s="2"/>
      <c r="Y101" s="2"/>
      <c r="Z101" s="82"/>
      <c r="AA101" s="2"/>
      <c r="AB101" s="2"/>
    </row>
    <row r="102" spans="1:28" ht="20.100000000000001" customHeight="1" x14ac:dyDescent="0.25">
      <c r="A102" s="30" t="s">
        <v>241</v>
      </c>
      <c r="E102" s="2"/>
      <c r="F102" s="2"/>
      <c r="G102" s="4"/>
      <c r="H102" s="2"/>
      <c r="I102" s="5"/>
      <c r="K102" s="56"/>
      <c r="X102" s="2"/>
      <c r="Y102" s="2"/>
      <c r="Z102" s="82"/>
      <c r="AA102" s="2"/>
      <c r="AB102" s="2"/>
    </row>
    <row r="103" spans="1:28" ht="20.100000000000001" customHeight="1" x14ac:dyDescent="0.25">
      <c r="A103" s="30"/>
      <c r="E103" s="2"/>
      <c r="F103" s="4"/>
      <c r="G103" s="2"/>
      <c r="H103" s="2"/>
      <c r="I103" s="5"/>
      <c r="K103" s="56"/>
      <c r="X103" s="2"/>
      <c r="Y103" s="2"/>
      <c r="Z103" s="82"/>
      <c r="AA103" s="2"/>
      <c r="AB103" s="2"/>
    </row>
    <row r="104" spans="1:28" ht="20.100000000000001" customHeight="1" x14ac:dyDescent="0.25">
      <c r="A104" s="30"/>
      <c r="E104" s="2"/>
      <c r="F104" s="4"/>
      <c r="G104" s="2"/>
      <c r="H104" s="2"/>
      <c r="I104" s="5"/>
      <c r="K104" s="56"/>
      <c r="X104" s="2"/>
      <c r="Y104" s="2"/>
      <c r="Z104" s="82"/>
      <c r="AA104" s="2"/>
      <c r="AB104" s="2"/>
    </row>
    <row r="105" spans="1:28" ht="20.100000000000001" customHeight="1" x14ac:dyDescent="0.25">
      <c r="A105" s="31"/>
      <c r="E105" s="2"/>
      <c r="F105" s="2"/>
      <c r="G105" s="2"/>
      <c r="H105" s="2"/>
      <c r="I105" s="2"/>
      <c r="X105" s="2"/>
      <c r="Y105" s="2"/>
      <c r="Z105" s="82"/>
      <c r="AA105" s="2"/>
      <c r="AB105" s="2"/>
    </row>
    <row r="106" spans="1:28" ht="20.100000000000001" customHeight="1" x14ac:dyDescent="0.25">
      <c r="E106" s="2"/>
      <c r="F106" s="2"/>
      <c r="G106" s="2"/>
      <c r="H106" s="2"/>
      <c r="I106" s="2"/>
      <c r="X106" s="2"/>
      <c r="Y106" s="2"/>
      <c r="Z106" s="82"/>
      <c r="AA106" s="2"/>
      <c r="AB106" s="2"/>
    </row>
    <row r="107" spans="1:28" ht="19.5" customHeight="1" x14ac:dyDescent="0.25">
      <c r="A107" s="2"/>
      <c r="E107" s="2"/>
      <c r="F107" s="2"/>
      <c r="G107" s="2"/>
      <c r="H107" s="2"/>
      <c r="I107" s="2"/>
      <c r="X107" s="2"/>
      <c r="Y107" s="2"/>
      <c r="Z107" s="82"/>
      <c r="AA107" s="2"/>
      <c r="AB107" s="2"/>
    </row>
    <row r="108" spans="1:28" ht="20.100000000000001" customHeight="1" x14ac:dyDescent="0.25">
      <c r="A108" s="2"/>
      <c r="E108" s="2"/>
      <c r="F108" s="2"/>
      <c r="G108" s="2"/>
      <c r="H108" s="2"/>
      <c r="I108" s="2"/>
      <c r="X108" s="2"/>
      <c r="Y108" s="2"/>
      <c r="Z108" s="82"/>
      <c r="AA108" s="2"/>
      <c r="AB108" s="2"/>
    </row>
    <row r="109" spans="1:28" ht="20.100000000000001" customHeight="1" x14ac:dyDescent="0.25">
      <c r="A109" s="2"/>
      <c r="C109" s="19"/>
      <c r="D109" s="20"/>
      <c r="E109" s="20"/>
      <c r="F109" s="20"/>
      <c r="G109" s="20"/>
      <c r="H109" s="20"/>
      <c r="I109" s="20"/>
      <c r="J109" s="21"/>
      <c r="K109" s="20"/>
      <c r="L109" s="22"/>
      <c r="M109" s="69"/>
      <c r="N109" s="60"/>
      <c r="O109" s="20"/>
      <c r="P109" s="22"/>
      <c r="Q109" s="22"/>
      <c r="R109" s="22"/>
      <c r="S109" s="22"/>
      <c r="X109" s="2"/>
      <c r="Y109" s="2"/>
      <c r="Z109" s="82"/>
      <c r="AA109" s="2"/>
      <c r="AB109" s="2"/>
    </row>
    <row r="110" spans="1:28" ht="20.100000000000001" customHeight="1" x14ac:dyDescent="0.25">
      <c r="C110" s="23"/>
      <c r="D110" s="20"/>
      <c r="E110" s="20"/>
      <c r="F110" s="20"/>
      <c r="G110" s="20"/>
      <c r="H110" s="20"/>
      <c r="I110" s="20"/>
      <c r="J110" s="21"/>
      <c r="K110" s="20"/>
      <c r="L110" s="24"/>
      <c r="M110" s="70"/>
      <c r="N110" s="60"/>
      <c r="O110" s="20"/>
      <c r="P110" s="24"/>
      <c r="Q110" s="24"/>
      <c r="R110" s="24"/>
      <c r="S110" s="24"/>
      <c r="X110" s="2"/>
      <c r="Y110" s="2"/>
      <c r="Z110" s="82"/>
      <c r="AA110" s="2"/>
      <c r="AB110" s="2"/>
    </row>
    <row r="111" spans="1:28" ht="20.100000000000001" customHeight="1" x14ac:dyDescent="0.25">
      <c r="C111" s="23"/>
      <c r="D111" s="20"/>
      <c r="E111" s="20"/>
      <c r="F111" s="20"/>
      <c r="G111" s="20"/>
      <c r="H111" s="20"/>
      <c r="I111" s="20"/>
      <c r="J111" s="21"/>
      <c r="K111" s="20"/>
      <c r="L111" s="24"/>
      <c r="M111" s="70"/>
      <c r="N111" s="60"/>
      <c r="O111" s="20"/>
      <c r="P111" s="24"/>
      <c r="Q111" s="24"/>
      <c r="R111" s="24"/>
      <c r="S111" s="24"/>
      <c r="X111" s="2"/>
      <c r="Y111" s="2"/>
      <c r="Z111" s="82"/>
      <c r="AA111" s="2"/>
      <c r="AB111" s="2"/>
    </row>
    <row r="113" spans="2:2" x14ac:dyDescent="0.25">
      <c r="B113" s="25"/>
    </row>
  </sheetData>
  <mergeCells count="22">
    <mergeCell ref="A9:A23"/>
    <mergeCell ref="A25:A39"/>
    <mergeCell ref="A57:A66"/>
    <mergeCell ref="A41:A55"/>
    <mergeCell ref="Q99:S99"/>
    <mergeCell ref="O95:S95"/>
    <mergeCell ref="O96:S96"/>
    <mergeCell ref="O97:S97"/>
    <mergeCell ref="O98:S98"/>
    <mergeCell ref="A4:S4"/>
    <mergeCell ref="A6:A7"/>
    <mergeCell ref="B6:B7"/>
    <mergeCell ref="C6:C7"/>
    <mergeCell ref="D6:D7"/>
    <mergeCell ref="E6:E7"/>
    <mergeCell ref="J6:L6"/>
    <mergeCell ref="M6:N6"/>
    <mergeCell ref="O6:P6"/>
    <mergeCell ref="Q6:S6"/>
    <mergeCell ref="H6:H7"/>
    <mergeCell ref="I6:I7"/>
    <mergeCell ref="F6:F7"/>
  </mergeCells>
  <phoneticPr fontId="65" type="noConversion"/>
  <hyperlinks>
    <hyperlink ref="O98" r:id="rId1"/>
    <hyperlink ref="Q99" r:id="rId2"/>
  </hyperlinks>
  <printOptions horizontalCentered="1"/>
  <pageMargins left="0.19685039370078741" right="0.19685039370078741" top="0.39370078740157483" bottom="0" header="0" footer="0"/>
  <pageSetup paperSize="9" scale="38" orientation="portrait" verticalDpi="1" r:id="rId3"/>
  <headerFooter alignWithMargins="0"/>
  <drawing r:id="rId4"/>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9"/>
  <sheetViews>
    <sheetView showGridLines="0" view="pageBreakPreview" zoomScale="74" zoomScaleNormal="100" zoomScaleSheetLayoutView="74" workbookViewId="0">
      <pane xSplit="1" ySplit="7" topLeftCell="B29" activePane="bottomRight" state="frozen"/>
      <selection sqref="A1:IV65536"/>
      <selection pane="topRight" sqref="A1:IV65536"/>
      <selection pane="bottomLeft" sqref="A1:IV65536"/>
      <selection pane="bottomRight" activeCell="S42" sqref="S42"/>
    </sheetView>
  </sheetViews>
  <sheetFormatPr defaultColWidth="11.42578125" defaultRowHeight="18" x14ac:dyDescent="0.25"/>
  <cols>
    <col min="1" max="1" width="38.7109375" style="3" customWidth="1"/>
    <col min="2" max="4" width="9.7109375" style="2" customWidth="1"/>
    <col min="5" max="6" width="11.140625" style="71" hidden="1" customWidth="1"/>
    <col min="7" max="7" width="18.140625" style="71" customWidth="1"/>
    <col min="8" max="8" width="6.140625" style="71" customWidth="1"/>
    <col min="9" max="9" width="12.28515625" style="71" customWidth="1"/>
    <col min="10" max="10" width="11.140625" style="71" hidden="1" customWidth="1"/>
    <col min="11" max="11" width="9.28515625" style="4" customWidth="1"/>
    <col min="12" max="12" width="11.5703125" style="2" customWidth="1"/>
    <col min="13" max="13" width="11.5703125" style="5" customWidth="1"/>
    <col min="14" max="14" width="11.5703125" style="4" customWidth="1"/>
    <col min="15" max="15" width="13.85546875" style="56" customWidth="1"/>
    <col min="16" max="16" width="11.5703125" style="2" customWidth="1"/>
    <col min="17" max="17" width="11.5703125" style="5" customWidth="1"/>
    <col min="18" max="18" width="15.140625" style="2" customWidth="1"/>
    <col min="19" max="19" width="11.85546875" style="2" customWidth="1"/>
    <col min="20" max="20" width="14" style="2" customWidth="1"/>
    <col min="21" max="23" width="11.42578125" style="2"/>
    <col min="24" max="24" width="17.140625" style="2" bestFit="1" customWidth="1"/>
    <col min="25" max="256" width="11.42578125" style="2"/>
    <col min="257" max="257" width="38.7109375" style="2" customWidth="1"/>
    <col min="258" max="260" width="9.7109375" style="2" customWidth="1"/>
    <col min="261" max="262" width="0" style="2" hidden="1" customWidth="1"/>
    <col min="263" max="263" width="18.140625" style="2" customWidth="1"/>
    <col min="264" max="264" width="6.140625" style="2" customWidth="1"/>
    <col min="265" max="265" width="12.28515625" style="2" customWidth="1"/>
    <col min="266" max="266" width="0" style="2" hidden="1" customWidth="1"/>
    <col min="267" max="267" width="9.28515625" style="2" customWidth="1"/>
    <col min="268" max="270" width="11.5703125" style="2" customWidth="1"/>
    <col min="271" max="271" width="13.85546875" style="2" customWidth="1"/>
    <col min="272" max="273" width="11.5703125" style="2" customWidth="1"/>
    <col min="274" max="274" width="15.140625" style="2" customWidth="1"/>
    <col min="275" max="275" width="11.85546875" style="2" customWidth="1"/>
    <col min="276" max="276" width="14" style="2" customWidth="1"/>
    <col min="277" max="512" width="11.42578125" style="2"/>
    <col min="513" max="513" width="38.7109375" style="2" customWidth="1"/>
    <col min="514" max="516" width="9.7109375" style="2" customWidth="1"/>
    <col min="517" max="518" width="0" style="2" hidden="1" customWidth="1"/>
    <col min="519" max="519" width="18.140625" style="2" customWidth="1"/>
    <col min="520" max="520" width="6.140625" style="2" customWidth="1"/>
    <col min="521" max="521" width="12.28515625" style="2" customWidth="1"/>
    <col min="522" max="522" width="0" style="2" hidden="1" customWidth="1"/>
    <col min="523" max="523" width="9.28515625" style="2" customWidth="1"/>
    <col min="524" max="526" width="11.5703125" style="2" customWidth="1"/>
    <col min="527" max="527" width="13.85546875" style="2" customWidth="1"/>
    <col min="528" max="529" width="11.5703125" style="2" customWidth="1"/>
    <col min="530" max="530" width="15.140625" style="2" customWidth="1"/>
    <col min="531" max="531" width="11.85546875" style="2" customWidth="1"/>
    <col min="532" max="532" width="14" style="2" customWidth="1"/>
    <col min="533" max="768" width="11.42578125" style="2"/>
    <col min="769" max="769" width="38.7109375" style="2" customWidth="1"/>
    <col min="770" max="772" width="9.7109375" style="2" customWidth="1"/>
    <col min="773" max="774" width="0" style="2" hidden="1" customWidth="1"/>
    <col min="775" max="775" width="18.140625" style="2" customWidth="1"/>
    <col min="776" max="776" width="6.140625" style="2" customWidth="1"/>
    <col min="777" max="777" width="12.28515625" style="2" customWidth="1"/>
    <col min="778" max="778" width="0" style="2" hidden="1" customWidth="1"/>
    <col min="779" max="779" width="9.28515625" style="2" customWidth="1"/>
    <col min="780" max="782" width="11.5703125" style="2" customWidth="1"/>
    <col min="783" max="783" width="13.85546875" style="2" customWidth="1"/>
    <col min="784" max="785" width="11.5703125" style="2" customWidth="1"/>
    <col min="786" max="786" width="15.140625" style="2" customWidth="1"/>
    <col min="787" max="787" width="11.85546875" style="2" customWidth="1"/>
    <col min="788" max="788" width="14" style="2" customWidth="1"/>
    <col min="789" max="1024" width="11.42578125" style="2"/>
    <col min="1025" max="1025" width="38.7109375" style="2" customWidth="1"/>
    <col min="1026" max="1028" width="9.7109375" style="2" customWidth="1"/>
    <col min="1029" max="1030" width="0" style="2" hidden="1" customWidth="1"/>
    <col min="1031" max="1031" width="18.140625" style="2" customWidth="1"/>
    <col min="1032" max="1032" width="6.140625" style="2" customWidth="1"/>
    <col min="1033" max="1033" width="12.28515625" style="2" customWidth="1"/>
    <col min="1034" max="1034" width="0" style="2" hidden="1" customWidth="1"/>
    <col min="1035" max="1035" width="9.28515625" style="2" customWidth="1"/>
    <col min="1036" max="1038" width="11.5703125" style="2" customWidth="1"/>
    <col min="1039" max="1039" width="13.85546875" style="2" customWidth="1"/>
    <col min="1040" max="1041" width="11.5703125" style="2" customWidth="1"/>
    <col min="1042" max="1042" width="15.140625" style="2" customWidth="1"/>
    <col min="1043" max="1043" width="11.85546875" style="2" customWidth="1"/>
    <col min="1044" max="1044" width="14" style="2" customWidth="1"/>
    <col min="1045" max="1280" width="11.42578125" style="2"/>
    <col min="1281" max="1281" width="38.7109375" style="2" customWidth="1"/>
    <col min="1282" max="1284" width="9.7109375" style="2" customWidth="1"/>
    <col min="1285" max="1286" width="0" style="2" hidden="1" customWidth="1"/>
    <col min="1287" max="1287" width="18.140625" style="2" customWidth="1"/>
    <col min="1288" max="1288" width="6.140625" style="2" customWidth="1"/>
    <col min="1289" max="1289" width="12.28515625" style="2" customWidth="1"/>
    <col min="1290" max="1290" width="0" style="2" hidden="1" customWidth="1"/>
    <col min="1291" max="1291" width="9.28515625" style="2" customWidth="1"/>
    <col min="1292" max="1294" width="11.5703125" style="2" customWidth="1"/>
    <col min="1295" max="1295" width="13.85546875" style="2" customWidth="1"/>
    <col min="1296" max="1297" width="11.5703125" style="2" customWidth="1"/>
    <col min="1298" max="1298" width="15.140625" style="2" customWidth="1"/>
    <col min="1299" max="1299" width="11.85546875" style="2" customWidth="1"/>
    <col min="1300" max="1300" width="14" style="2" customWidth="1"/>
    <col min="1301" max="1536" width="11.42578125" style="2"/>
    <col min="1537" max="1537" width="38.7109375" style="2" customWidth="1"/>
    <col min="1538" max="1540" width="9.7109375" style="2" customWidth="1"/>
    <col min="1541" max="1542" width="0" style="2" hidden="1" customWidth="1"/>
    <col min="1543" max="1543" width="18.140625" style="2" customWidth="1"/>
    <col min="1544" max="1544" width="6.140625" style="2" customWidth="1"/>
    <col min="1545" max="1545" width="12.28515625" style="2" customWidth="1"/>
    <col min="1546" max="1546" width="0" style="2" hidden="1" customWidth="1"/>
    <col min="1547" max="1547" width="9.28515625" style="2" customWidth="1"/>
    <col min="1548" max="1550" width="11.5703125" style="2" customWidth="1"/>
    <col min="1551" max="1551" width="13.85546875" style="2" customWidth="1"/>
    <col min="1552" max="1553" width="11.5703125" style="2" customWidth="1"/>
    <col min="1554" max="1554" width="15.140625" style="2" customWidth="1"/>
    <col min="1555" max="1555" width="11.85546875" style="2" customWidth="1"/>
    <col min="1556" max="1556" width="14" style="2" customWidth="1"/>
    <col min="1557" max="1792" width="11.42578125" style="2"/>
    <col min="1793" max="1793" width="38.7109375" style="2" customWidth="1"/>
    <col min="1794" max="1796" width="9.7109375" style="2" customWidth="1"/>
    <col min="1797" max="1798" width="0" style="2" hidden="1" customWidth="1"/>
    <col min="1799" max="1799" width="18.140625" style="2" customWidth="1"/>
    <col min="1800" max="1800" width="6.140625" style="2" customWidth="1"/>
    <col min="1801" max="1801" width="12.28515625" style="2" customWidth="1"/>
    <col min="1802" max="1802" width="0" style="2" hidden="1" customWidth="1"/>
    <col min="1803" max="1803" width="9.28515625" style="2" customWidth="1"/>
    <col min="1804" max="1806" width="11.5703125" style="2" customWidth="1"/>
    <col min="1807" max="1807" width="13.85546875" style="2" customWidth="1"/>
    <col min="1808" max="1809" width="11.5703125" style="2" customWidth="1"/>
    <col min="1810" max="1810" width="15.140625" style="2" customWidth="1"/>
    <col min="1811" max="1811" width="11.85546875" style="2" customWidth="1"/>
    <col min="1812" max="1812" width="14" style="2" customWidth="1"/>
    <col min="1813" max="2048" width="11.42578125" style="2"/>
    <col min="2049" max="2049" width="38.7109375" style="2" customWidth="1"/>
    <col min="2050" max="2052" width="9.7109375" style="2" customWidth="1"/>
    <col min="2053" max="2054" width="0" style="2" hidden="1" customWidth="1"/>
    <col min="2055" max="2055" width="18.140625" style="2" customWidth="1"/>
    <col min="2056" max="2056" width="6.140625" style="2" customWidth="1"/>
    <col min="2057" max="2057" width="12.28515625" style="2" customWidth="1"/>
    <col min="2058" max="2058" width="0" style="2" hidden="1" customWidth="1"/>
    <col min="2059" max="2059" width="9.28515625" style="2" customWidth="1"/>
    <col min="2060" max="2062" width="11.5703125" style="2" customWidth="1"/>
    <col min="2063" max="2063" width="13.85546875" style="2" customWidth="1"/>
    <col min="2064" max="2065" width="11.5703125" style="2" customWidth="1"/>
    <col min="2066" max="2066" width="15.140625" style="2" customWidth="1"/>
    <col min="2067" max="2067" width="11.85546875" style="2" customWidth="1"/>
    <col min="2068" max="2068" width="14" style="2" customWidth="1"/>
    <col min="2069" max="2304" width="11.42578125" style="2"/>
    <col min="2305" max="2305" width="38.7109375" style="2" customWidth="1"/>
    <col min="2306" max="2308" width="9.7109375" style="2" customWidth="1"/>
    <col min="2309" max="2310" width="0" style="2" hidden="1" customWidth="1"/>
    <col min="2311" max="2311" width="18.140625" style="2" customWidth="1"/>
    <col min="2312" max="2312" width="6.140625" style="2" customWidth="1"/>
    <col min="2313" max="2313" width="12.28515625" style="2" customWidth="1"/>
    <col min="2314" max="2314" width="0" style="2" hidden="1" customWidth="1"/>
    <col min="2315" max="2315" width="9.28515625" style="2" customWidth="1"/>
    <col min="2316" max="2318" width="11.5703125" style="2" customWidth="1"/>
    <col min="2319" max="2319" width="13.85546875" style="2" customWidth="1"/>
    <col min="2320" max="2321" width="11.5703125" style="2" customWidth="1"/>
    <col min="2322" max="2322" width="15.140625" style="2" customWidth="1"/>
    <col min="2323" max="2323" width="11.85546875" style="2" customWidth="1"/>
    <col min="2324" max="2324" width="14" style="2" customWidth="1"/>
    <col min="2325" max="2560" width="11.42578125" style="2"/>
    <col min="2561" max="2561" width="38.7109375" style="2" customWidth="1"/>
    <col min="2562" max="2564" width="9.7109375" style="2" customWidth="1"/>
    <col min="2565" max="2566" width="0" style="2" hidden="1" customWidth="1"/>
    <col min="2567" max="2567" width="18.140625" style="2" customWidth="1"/>
    <col min="2568" max="2568" width="6.140625" style="2" customWidth="1"/>
    <col min="2569" max="2569" width="12.28515625" style="2" customWidth="1"/>
    <col min="2570" max="2570" width="0" style="2" hidden="1" customWidth="1"/>
    <col min="2571" max="2571" width="9.28515625" style="2" customWidth="1"/>
    <col min="2572" max="2574" width="11.5703125" style="2" customWidth="1"/>
    <col min="2575" max="2575" width="13.85546875" style="2" customWidth="1"/>
    <col min="2576" max="2577" width="11.5703125" style="2" customWidth="1"/>
    <col min="2578" max="2578" width="15.140625" style="2" customWidth="1"/>
    <col min="2579" max="2579" width="11.85546875" style="2" customWidth="1"/>
    <col min="2580" max="2580" width="14" style="2" customWidth="1"/>
    <col min="2581" max="2816" width="11.42578125" style="2"/>
    <col min="2817" max="2817" width="38.7109375" style="2" customWidth="1"/>
    <col min="2818" max="2820" width="9.7109375" style="2" customWidth="1"/>
    <col min="2821" max="2822" width="0" style="2" hidden="1" customWidth="1"/>
    <col min="2823" max="2823" width="18.140625" style="2" customWidth="1"/>
    <col min="2824" max="2824" width="6.140625" style="2" customWidth="1"/>
    <col min="2825" max="2825" width="12.28515625" style="2" customWidth="1"/>
    <col min="2826" max="2826" width="0" style="2" hidden="1" customWidth="1"/>
    <col min="2827" max="2827" width="9.28515625" style="2" customWidth="1"/>
    <col min="2828" max="2830" width="11.5703125" style="2" customWidth="1"/>
    <col min="2831" max="2831" width="13.85546875" style="2" customWidth="1"/>
    <col min="2832" max="2833" width="11.5703125" style="2" customWidth="1"/>
    <col min="2834" max="2834" width="15.140625" style="2" customWidth="1"/>
    <col min="2835" max="2835" width="11.85546875" style="2" customWidth="1"/>
    <col min="2836" max="2836" width="14" style="2" customWidth="1"/>
    <col min="2837" max="3072" width="11.42578125" style="2"/>
    <col min="3073" max="3073" width="38.7109375" style="2" customWidth="1"/>
    <col min="3074" max="3076" width="9.7109375" style="2" customWidth="1"/>
    <col min="3077" max="3078" width="0" style="2" hidden="1" customWidth="1"/>
    <col min="3079" max="3079" width="18.140625" style="2" customWidth="1"/>
    <col min="3080" max="3080" width="6.140625" style="2" customWidth="1"/>
    <col min="3081" max="3081" width="12.28515625" style="2" customWidth="1"/>
    <col min="3082" max="3082" width="0" style="2" hidden="1" customWidth="1"/>
    <col min="3083" max="3083" width="9.28515625" style="2" customWidth="1"/>
    <col min="3084" max="3086" width="11.5703125" style="2" customWidth="1"/>
    <col min="3087" max="3087" width="13.85546875" style="2" customWidth="1"/>
    <col min="3088" max="3089" width="11.5703125" style="2" customWidth="1"/>
    <col min="3090" max="3090" width="15.140625" style="2" customWidth="1"/>
    <col min="3091" max="3091" width="11.85546875" style="2" customWidth="1"/>
    <col min="3092" max="3092" width="14" style="2" customWidth="1"/>
    <col min="3093" max="3328" width="11.42578125" style="2"/>
    <col min="3329" max="3329" width="38.7109375" style="2" customWidth="1"/>
    <col min="3330" max="3332" width="9.7109375" style="2" customWidth="1"/>
    <col min="3333" max="3334" width="0" style="2" hidden="1" customWidth="1"/>
    <col min="3335" max="3335" width="18.140625" style="2" customWidth="1"/>
    <col min="3336" max="3336" width="6.140625" style="2" customWidth="1"/>
    <col min="3337" max="3337" width="12.28515625" style="2" customWidth="1"/>
    <col min="3338" max="3338" width="0" style="2" hidden="1" customWidth="1"/>
    <col min="3339" max="3339" width="9.28515625" style="2" customWidth="1"/>
    <col min="3340" max="3342" width="11.5703125" style="2" customWidth="1"/>
    <col min="3343" max="3343" width="13.85546875" style="2" customWidth="1"/>
    <col min="3344" max="3345" width="11.5703125" style="2" customWidth="1"/>
    <col min="3346" max="3346" width="15.140625" style="2" customWidth="1"/>
    <col min="3347" max="3347" width="11.85546875" style="2" customWidth="1"/>
    <col min="3348" max="3348" width="14" style="2" customWidth="1"/>
    <col min="3349" max="3584" width="11.42578125" style="2"/>
    <col min="3585" max="3585" width="38.7109375" style="2" customWidth="1"/>
    <col min="3586" max="3588" width="9.7109375" style="2" customWidth="1"/>
    <col min="3589" max="3590" width="0" style="2" hidden="1" customWidth="1"/>
    <col min="3591" max="3591" width="18.140625" style="2" customWidth="1"/>
    <col min="3592" max="3592" width="6.140625" style="2" customWidth="1"/>
    <col min="3593" max="3593" width="12.28515625" style="2" customWidth="1"/>
    <col min="3594" max="3594" width="0" style="2" hidden="1" customWidth="1"/>
    <col min="3595" max="3595" width="9.28515625" style="2" customWidth="1"/>
    <col min="3596" max="3598" width="11.5703125" style="2" customWidth="1"/>
    <col min="3599" max="3599" width="13.85546875" style="2" customWidth="1"/>
    <col min="3600" max="3601" width="11.5703125" style="2" customWidth="1"/>
    <col min="3602" max="3602" width="15.140625" style="2" customWidth="1"/>
    <col min="3603" max="3603" width="11.85546875" style="2" customWidth="1"/>
    <col min="3604" max="3604" width="14" style="2" customWidth="1"/>
    <col min="3605" max="3840" width="11.42578125" style="2"/>
    <col min="3841" max="3841" width="38.7109375" style="2" customWidth="1"/>
    <col min="3842" max="3844" width="9.7109375" style="2" customWidth="1"/>
    <col min="3845" max="3846" width="0" style="2" hidden="1" customWidth="1"/>
    <col min="3847" max="3847" width="18.140625" style="2" customWidth="1"/>
    <col min="3848" max="3848" width="6.140625" style="2" customWidth="1"/>
    <col min="3849" max="3849" width="12.28515625" style="2" customWidth="1"/>
    <col min="3850" max="3850" width="0" style="2" hidden="1" customWidth="1"/>
    <col min="3851" max="3851" width="9.28515625" style="2" customWidth="1"/>
    <col min="3852" max="3854" width="11.5703125" style="2" customWidth="1"/>
    <col min="3855" max="3855" width="13.85546875" style="2" customWidth="1"/>
    <col min="3856" max="3857" width="11.5703125" style="2" customWidth="1"/>
    <col min="3858" max="3858" width="15.140625" style="2" customWidth="1"/>
    <col min="3859" max="3859" width="11.85546875" style="2" customWidth="1"/>
    <col min="3860" max="3860" width="14" style="2" customWidth="1"/>
    <col min="3861" max="4096" width="11.42578125" style="2"/>
    <col min="4097" max="4097" width="38.7109375" style="2" customWidth="1"/>
    <col min="4098" max="4100" width="9.7109375" style="2" customWidth="1"/>
    <col min="4101" max="4102" width="0" style="2" hidden="1" customWidth="1"/>
    <col min="4103" max="4103" width="18.140625" style="2" customWidth="1"/>
    <col min="4104" max="4104" width="6.140625" style="2" customWidth="1"/>
    <col min="4105" max="4105" width="12.28515625" style="2" customWidth="1"/>
    <col min="4106" max="4106" width="0" style="2" hidden="1" customWidth="1"/>
    <col min="4107" max="4107" width="9.28515625" style="2" customWidth="1"/>
    <col min="4108" max="4110" width="11.5703125" style="2" customWidth="1"/>
    <col min="4111" max="4111" width="13.85546875" style="2" customWidth="1"/>
    <col min="4112" max="4113" width="11.5703125" style="2" customWidth="1"/>
    <col min="4114" max="4114" width="15.140625" style="2" customWidth="1"/>
    <col min="4115" max="4115" width="11.85546875" style="2" customWidth="1"/>
    <col min="4116" max="4116" width="14" style="2" customWidth="1"/>
    <col min="4117" max="4352" width="11.42578125" style="2"/>
    <col min="4353" max="4353" width="38.7109375" style="2" customWidth="1"/>
    <col min="4354" max="4356" width="9.7109375" style="2" customWidth="1"/>
    <col min="4357" max="4358" width="0" style="2" hidden="1" customWidth="1"/>
    <col min="4359" max="4359" width="18.140625" style="2" customWidth="1"/>
    <col min="4360" max="4360" width="6.140625" style="2" customWidth="1"/>
    <col min="4361" max="4361" width="12.28515625" style="2" customWidth="1"/>
    <col min="4362" max="4362" width="0" style="2" hidden="1" customWidth="1"/>
    <col min="4363" max="4363" width="9.28515625" style="2" customWidth="1"/>
    <col min="4364" max="4366" width="11.5703125" style="2" customWidth="1"/>
    <col min="4367" max="4367" width="13.85546875" style="2" customWidth="1"/>
    <col min="4368" max="4369" width="11.5703125" style="2" customWidth="1"/>
    <col min="4370" max="4370" width="15.140625" style="2" customWidth="1"/>
    <col min="4371" max="4371" width="11.85546875" style="2" customWidth="1"/>
    <col min="4372" max="4372" width="14" style="2" customWidth="1"/>
    <col min="4373" max="4608" width="11.42578125" style="2"/>
    <col min="4609" max="4609" width="38.7109375" style="2" customWidth="1"/>
    <col min="4610" max="4612" width="9.7109375" style="2" customWidth="1"/>
    <col min="4613" max="4614" width="0" style="2" hidden="1" customWidth="1"/>
    <col min="4615" max="4615" width="18.140625" style="2" customWidth="1"/>
    <col min="4616" max="4616" width="6.140625" style="2" customWidth="1"/>
    <col min="4617" max="4617" width="12.28515625" style="2" customWidth="1"/>
    <col min="4618" max="4618" width="0" style="2" hidden="1" customWidth="1"/>
    <col min="4619" max="4619" width="9.28515625" style="2" customWidth="1"/>
    <col min="4620" max="4622" width="11.5703125" style="2" customWidth="1"/>
    <col min="4623" max="4623" width="13.85546875" style="2" customWidth="1"/>
    <col min="4624" max="4625" width="11.5703125" style="2" customWidth="1"/>
    <col min="4626" max="4626" width="15.140625" style="2" customWidth="1"/>
    <col min="4627" max="4627" width="11.85546875" style="2" customWidth="1"/>
    <col min="4628" max="4628" width="14" style="2" customWidth="1"/>
    <col min="4629" max="4864" width="11.42578125" style="2"/>
    <col min="4865" max="4865" width="38.7109375" style="2" customWidth="1"/>
    <col min="4866" max="4868" width="9.7109375" style="2" customWidth="1"/>
    <col min="4869" max="4870" width="0" style="2" hidden="1" customWidth="1"/>
    <col min="4871" max="4871" width="18.140625" style="2" customWidth="1"/>
    <col min="4872" max="4872" width="6.140625" style="2" customWidth="1"/>
    <col min="4873" max="4873" width="12.28515625" style="2" customWidth="1"/>
    <col min="4874" max="4874" width="0" style="2" hidden="1" customWidth="1"/>
    <col min="4875" max="4875" width="9.28515625" style="2" customWidth="1"/>
    <col min="4876" max="4878" width="11.5703125" style="2" customWidth="1"/>
    <col min="4879" max="4879" width="13.85546875" style="2" customWidth="1"/>
    <col min="4880" max="4881" width="11.5703125" style="2" customWidth="1"/>
    <col min="4882" max="4882" width="15.140625" style="2" customWidth="1"/>
    <col min="4883" max="4883" width="11.85546875" style="2" customWidth="1"/>
    <col min="4884" max="4884" width="14" style="2" customWidth="1"/>
    <col min="4885" max="5120" width="11.42578125" style="2"/>
    <col min="5121" max="5121" width="38.7109375" style="2" customWidth="1"/>
    <col min="5122" max="5124" width="9.7109375" style="2" customWidth="1"/>
    <col min="5125" max="5126" width="0" style="2" hidden="1" customWidth="1"/>
    <col min="5127" max="5127" width="18.140625" style="2" customWidth="1"/>
    <col min="5128" max="5128" width="6.140625" style="2" customWidth="1"/>
    <col min="5129" max="5129" width="12.28515625" style="2" customWidth="1"/>
    <col min="5130" max="5130" width="0" style="2" hidden="1" customWidth="1"/>
    <col min="5131" max="5131" width="9.28515625" style="2" customWidth="1"/>
    <col min="5132" max="5134" width="11.5703125" style="2" customWidth="1"/>
    <col min="5135" max="5135" width="13.85546875" style="2" customWidth="1"/>
    <col min="5136" max="5137" width="11.5703125" style="2" customWidth="1"/>
    <col min="5138" max="5138" width="15.140625" style="2" customWidth="1"/>
    <col min="5139" max="5139" width="11.85546875" style="2" customWidth="1"/>
    <col min="5140" max="5140" width="14" style="2" customWidth="1"/>
    <col min="5141" max="5376" width="11.42578125" style="2"/>
    <col min="5377" max="5377" width="38.7109375" style="2" customWidth="1"/>
    <col min="5378" max="5380" width="9.7109375" style="2" customWidth="1"/>
    <col min="5381" max="5382" width="0" style="2" hidden="1" customWidth="1"/>
    <col min="5383" max="5383" width="18.140625" style="2" customWidth="1"/>
    <col min="5384" max="5384" width="6.140625" style="2" customWidth="1"/>
    <col min="5385" max="5385" width="12.28515625" style="2" customWidth="1"/>
    <col min="5386" max="5386" width="0" style="2" hidden="1" customWidth="1"/>
    <col min="5387" max="5387" width="9.28515625" style="2" customWidth="1"/>
    <col min="5388" max="5390" width="11.5703125" style="2" customWidth="1"/>
    <col min="5391" max="5391" width="13.85546875" style="2" customWidth="1"/>
    <col min="5392" max="5393" width="11.5703125" style="2" customWidth="1"/>
    <col min="5394" max="5394" width="15.140625" style="2" customWidth="1"/>
    <col min="5395" max="5395" width="11.85546875" style="2" customWidth="1"/>
    <col min="5396" max="5396" width="14" style="2" customWidth="1"/>
    <col min="5397" max="5632" width="11.42578125" style="2"/>
    <col min="5633" max="5633" width="38.7109375" style="2" customWidth="1"/>
    <col min="5634" max="5636" width="9.7109375" style="2" customWidth="1"/>
    <col min="5637" max="5638" width="0" style="2" hidden="1" customWidth="1"/>
    <col min="5639" max="5639" width="18.140625" style="2" customWidth="1"/>
    <col min="5640" max="5640" width="6.140625" style="2" customWidth="1"/>
    <col min="5641" max="5641" width="12.28515625" style="2" customWidth="1"/>
    <col min="5642" max="5642" width="0" style="2" hidden="1" customWidth="1"/>
    <col min="5643" max="5643" width="9.28515625" style="2" customWidth="1"/>
    <col min="5644" max="5646" width="11.5703125" style="2" customWidth="1"/>
    <col min="5647" max="5647" width="13.85546875" style="2" customWidth="1"/>
    <col min="5648" max="5649" width="11.5703125" style="2" customWidth="1"/>
    <col min="5650" max="5650" width="15.140625" style="2" customWidth="1"/>
    <col min="5651" max="5651" width="11.85546875" style="2" customWidth="1"/>
    <col min="5652" max="5652" width="14" style="2" customWidth="1"/>
    <col min="5653" max="5888" width="11.42578125" style="2"/>
    <col min="5889" max="5889" width="38.7109375" style="2" customWidth="1"/>
    <col min="5890" max="5892" width="9.7109375" style="2" customWidth="1"/>
    <col min="5893" max="5894" width="0" style="2" hidden="1" customWidth="1"/>
    <col min="5895" max="5895" width="18.140625" style="2" customWidth="1"/>
    <col min="5896" max="5896" width="6.140625" style="2" customWidth="1"/>
    <col min="5897" max="5897" width="12.28515625" style="2" customWidth="1"/>
    <col min="5898" max="5898" width="0" style="2" hidden="1" customWidth="1"/>
    <col min="5899" max="5899" width="9.28515625" style="2" customWidth="1"/>
    <col min="5900" max="5902" width="11.5703125" style="2" customWidth="1"/>
    <col min="5903" max="5903" width="13.85546875" style="2" customWidth="1"/>
    <col min="5904" max="5905" width="11.5703125" style="2" customWidth="1"/>
    <col min="5906" max="5906" width="15.140625" style="2" customWidth="1"/>
    <col min="5907" max="5907" width="11.85546875" style="2" customWidth="1"/>
    <col min="5908" max="5908" width="14" style="2" customWidth="1"/>
    <col min="5909" max="6144" width="11.42578125" style="2"/>
    <col min="6145" max="6145" width="38.7109375" style="2" customWidth="1"/>
    <col min="6146" max="6148" width="9.7109375" style="2" customWidth="1"/>
    <col min="6149" max="6150" width="0" style="2" hidden="1" customWidth="1"/>
    <col min="6151" max="6151" width="18.140625" style="2" customWidth="1"/>
    <col min="6152" max="6152" width="6.140625" style="2" customWidth="1"/>
    <col min="6153" max="6153" width="12.28515625" style="2" customWidth="1"/>
    <col min="6154" max="6154" width="0" style="2" hidden="1" customWidth="1"/>
    <col min="6155" max="6155" width="9.28515625" style="2" customWidth="1"/>
    <col min="6156" max="6158" width="11.5703125" style="2" customWidth="1"/>
    <col min="6159" max="6159" width="13.85546875" style="2" customWidth="1"/>
    <col min="6160" max="6161" width="11.5703125" style="2" customWidth="1"/>
    <col min="6162" max="6162" width="15.140625" style="2" customWidth="1"/>
    <col min="6163" max="6163" width="11.85546875" style="2" customWidth="1"/>
    <col min="6164" max="6164" width="14" style="2" customWidth="1"/>
    <col min="6165" max="6400" width="11.42578125" style="2"/>
    <col min="6401" max="6401" width="38.7109375" style="2" customWidth="1"/>
    <col min="6402" max="6404" width="9.7109375" style="2" customWidth="1"/>
    <col min="6405" max="6406" width="0" style="2" hidden="1" customWidth="1"/>
    <col min="6407" max="6407" width="18.140625" style="2" customWidth="1"/>
    <col min="6408" max="6408" width="6.140625" style="2" customWidth="1"/>
    <col min="6409" max="6409" width="12.28515625" style="2" customWidth="1"/>
    <col min="6410" max="6410" width="0" style="2" hidden="1" customWidth="1"/>
    <col min="6411" max="6411" width="9.28515625" style="2" customWidth="1"/>
    <col min="6412" max="6414" width="11.5703125" style="2" customWidth="1"/>
    <col min="6415" max="6415" width="13.85546875" style="2" customWidth="1"/>
    <col min="6416" max="6417" width="11.5703125" style="2" customWidth="1"/>
    <col min="6418" max="6418" width="15.140625" style="2" customWidth="1"/>
    <col min="6419" max="6419" width="11.85546875" style="2" customWidth="1"/>
    <col min="6420" max="6420" width="14" style="2" customWidth="1"/>
    <col min="6421" max="6656" width="11.42578125" style="2"/>
    <col min="6657" max="6657" width="38.7109375" style="2" customWidth="1"/>
    <col min="6658" max="6660" width="9.7109375" style="2" customWidth="1"/>
    <col min="6661" max="6662" width="0" style="2" hidden="1" customWidth="1"/>
    <col min="6663" max="6663" width="18.140625" style="2" customWidth="1"/>
    <col min="6664" max="6664" width="6.140625" style="2" customWidth="1"/>
    <col min="6665" max="6665" width="12.28515625" style="2" customWidth="1"/>
    <col min="6666" max="6666" width="0" style="2" hidden="1" customWidth="1"/>
    <col min="6667" max="6667" width="9.28515625" style="2" customWidth="1"/>
    <col min="6668" max="6670" width="11.5703125" style="2" customWidth="1"/>
    <col min="6671" max="6671" width="13.85546875" style="2" customWidth="1"/>
    <col min="6672" max="6673" width="11.5703125" style="2" customWidth="1"/>
    <col min="6674" max="6674" width="15.140625" style="2" customWidth="1"/>
    <col min="6675" max="6675" width="11.85546875" style="2" customWidth="1"/>
    <col min="6676" max="6676" width="14" style="2" customWidth="1"/>
    <col min="6677" max="6912" width="11.42578125" style="2"/>
    <col min="6913" max="6913" width="38.7109375" style="2" customWidth="1"/>
    <col min="6914" max="6916" width="9.7109375" style="2" customWidth="1"/>
    <col min="6917" max="6918" width="0" style="2" hidden="1" customWidth="1"/>
    <col min="6919" max="6919" width="18.140625" style="2" customWidth="1"/>
    <col min="6920" max="6920" width="6.140625" style="2" customWidth="1"/>
    <col min="6921" max="6921" width="12.28515625" style="2" customWidth="1"/>
    <col min="6922" max="6922" width="0" style="2" hidden="1" customWidth="1"/>
    <col min="6923" max="6923" width="9.28515625" style="2" customWidth="1"/>
    <col min="6924" max="6926" width="11.5703125" style="2" customWidth="1"/>
    <col min="6927" max="6927" width="13.85546875" style="2" customWidth="1"/>
    <col min="6928" max="6929" width="11.5703125" style="2" customWidth="1"/>
    <col min="6930" max="6930" width="15.140625" style="2" customWidth="1"/>
    <col min="6931" max="6931" width="11.85546875" style="2" customWidth="1"/>
    <col min="6932" max="6932" width="14" style="2" customWidth="1"/>
    <col min="6933" max="7168" width="11.42578125" style="2"/>
    <col min="7169" max="7169" width="38.7109375" style="2" customWidth="1"/>
    <col min="7170" max="7172" width="9.7109375" style="2" customWidth="1"/>
    <col min="7173" max="7174" width="0" style="2" hidden="1" customWidth="1"/>
    <col min="7175" max="7175" width="18.140625" style="2" customWidth="1"/>
    <col min="7176" max="7176" width="6.140625" style="2" customWidth="1"/>
    <col min="7177" max="7177" width="12.28515625" style="2" customWidth="1"/>
    <col min="7178" max="7178" width="0" style="2" hidden="1" customWidth="1"/>
    <col min="7179" max="7179" width="9.28515625" style="2" customWidth="1"/>
    <col min="7180" max="7182" width="11.5703125" style="2" customWidth="1"/>
    <col min="7183" max="7183" width="13.85546875" style="2" customWidth="1"/>
    <col min="7184" max="7185" width="11.5703125" style="2" customWidth="1"/>
    <col min="7186" max="7186" width="15.140625" style="2" customWidth="1"/>
    <col min="7187" max="7187" width="11.85546875" style="2" customWidth="1"/>
    <col min="7188" max="7188" width="14" style="2" customWidth="1"/>
    <col min="7189" max="7424" width="11.42578125" style="2"/>
    <col min="7425" max="7425" width="38.7109375" style="2" customWidth="1"/>
    <col min="7426" max="7428" width="9.7109375" style="2" customWidth="1"/>
    <col min="7429" max="7430" width="0" style="2" hidden="1" customWidth="1"/>
    <col min="7431" max="7431" width="18.140625" style="2" customWidth="1"/>
    <col min="7432" max="7432" width="6.140625" style="2" customWidth="1"/>
    <col min="7433" max="7433" width="12.28515625" style="2" customWidth="1"/>
    <col min="7434" max="7434" width="0" style="2" hidden="1" customWidth="1"/>
    <col min="7435" max="7435" width="9.28515625" style="2" customWidth="1"/>
    <col min="7436" max="7438" width="11.5703125" style="2" customWidth="1"/>
    <col min="7439" max="7439" width="13.85546875" style="2" customWidth="1"/>
    <col min="7440" max="7441" width="11.5703125" style="2" customWidth="1"/>
    <col min="7442" max="7442" width="15.140625" style="2" customWidth="1"/>
    <col min="7443" max="7443" width="11.85546875" style="2" customWidth="1"/>
    <col min="7444" max="7444" width="14" style="2" customWidth="1"/>
    <col min="7445" max="7680" width="11.42578125" style="2"/>
    <col min="7681" max="7681" width="38.7109375" style="2" customWidth="1"/>
    <col min="7682" max="7684" width="9.7109375" style="2" customWidth="1"/>
    <col min="7685" max="7686" width="0" style="2" hidden="1" customWidth="1"/>
    <col min="7687" max="7687" width="18.140625" style="2" customWidth="1"/>
    <col min="7688" max="7688" width="6.140625" style="2" customWidth="1"/>
    <col min="7689" max="7689" width="12.28515625" style="2" customWidth="1"/>
    <col min="7690" max="7690" width="0" style="2" hidden="1" customWidth="1"/>
    <col min="7691" max="7691" width="9.28515625" style="2" customWidth="1"/>
    <col min="7692" max="7694" width="11.5703125" style="2" customWidth="1"/>
    <col min="7695" max="7695" width="13.85546875" style="2" customWidth="1"/>
    <col min="7696" max="7697" width="11.5703125" style="2" customWidth="1"/>
    <col min="7698" max="7698" width="15.140625" style="2" customWidth="1"/>
    <col min="7699" max="7699" width="11.85546875" style="2" customWidth="1"/>
    <col min="7700" max="7700" width="14" style="2" customWidth="1"/>
    <col min="7701" max="7936" width="11.42578125" style="2"/>
    <col min="7937" max="7937" width="38.7109375" style="2" customWidth="1"/>
    <col min="7938" max="7940" width="9.7109375" style="2" customWidth="1"/>
    <col min="7941" max="7942" width="0" style="2" hidden="1" customWidth="1"/>
    <col min="7943" max="7943" width="18.140625" style="2" customWidth="1"/>
    <col min="7944" max="7944" width="6.140625" style="2" customWidth="1"/>
    <col min="7945" max="7945" width="12.28515625" style="2" customWidth="1"/>
    <col min="7946" max="7946" width="0" style="2" hidden="1" customWidth="1"/>
    <col min="7947" max="7947" width="9.28515625" style="2" customWidth="1"/>
    <col min="7948" max="7950" width="11.5703125" style="2" customWidth="1"/>
    <col min="7951" max="7951" width="13.85546875" style="2" customWidth="1"/>
    <col min="7952" max="7953" width="11.5703125" style="2" customWidth="1"/>
    <col min="7954" max="7954" width="15.140625" style="2" customWidth="1"/>
    <col min="7955" max="7955" width="11.85546875" style="2" customWidth="1"/>
    <col min="7956" max="7956" width="14" style="2" customWidth="1"/>
    <col min="7957" max="8192" width="11.42578125" style="2"/>
    <col min="8193" max="8193" width="38.7109375" style="2" customWidth="1"/>
    <col min="8194" max="8196" width="9.7109375" style="2" customWidth="1"/>
    <col min="8197" max="8198" width="0" style="2" hidden="1" customWidth="1"/>
    <col min="8199" max="8199" width="18.140625" style="2" customWidth="1"/>
    <col min="8200" max="8200" width="6.140625" style="2" customWidth="1"/>
    <col min="8201" max="8201" width="12.28515625" style="2" customWidth="1"/>
    <col min="8202" max="8202" width="0" style="2" hidden="1" customWidth="1"/>
    <col min="8203" max="8203" width="9.28515625" style="2" customWidth="1"/>
    <col min="8204" max="8206" width="11.5703125" style="2" customWidth="1"/>
    <col min="8207" max="8207" width="13.85546875" style="2" customWidth="1"/>
    <col min="8208" max="8209" width="11.5703125" style="2" customWidth="1"/>
    <col min="8210" max="8210" width="15.140625" style="2" customWidth="1"/>
    <col min="8211" max="8211" width="11.85546875" style="2" customWidth="1"/>
    <col min="8212" max="8212" width="14" style="2" customWidth="1"/>
    <col min="8213" max="8448" width="11.42578125" style="2"/>
    <col min="8449" max="8449" width="38.7109375" style="2" customWidth="1"/>
    <col min="8450" max="8452" width="9.7109375" style="2" customWidth="1"/>
    <col min="8453" max="8454" width="0" style="2" hidden="1" customWidth="1"/>
    <col min="8455" max="8455" width="18.140625" style="2" customWidth="1"/>
    <col min="8456" max="8456" width="6.140625" style="2" customWidth="1"/>
    <col min="8457" max="8457" width="12.28515625" style="2" customWidth="1"/>
    <col min="8458" max="8458" width="0" style="2" hidden="1" customWidth="1"/>
    <col min="8459" max="8459" width="9.28515625" style="2" customWidth="1"/>
    <col min="8460" max="8462" width="11.5703125" style="2" customWidth="1"/>
    <col min="8463" max="8463" width="13.85546875" style="2" customWidth="1"/>
    <col min="8464" max="8465" width="11.5703125" style="2" customWidth="1"/>
    <col min="8466" max="8466" width="15.140625" style="2" customWidth="1"/>
    <col min="8467" max="8467" width="11.85546875" style="2" customWidth="1"/>
    <col min="8468" max="8468" width="14" style="2" customWidth="1"/>
    <col min="8469" max="8704" width="11.42578125" style="2"/>
    <col min="8705" max="8705" width="38.7109375" style="2" customWidth="1"/>
    <col min="8706" max="8708" width="9.7109375" style="2" customWidth="1"/>
    <col min="8709" max="8710" width="0" style="2" hidden="1" customWidth="1"/>
    <col min="8711" max="8711" width="18.140625" style="2" customWidth="1"/>
    <col min="8712" max="8712" width="6.140625" style="2" customWidth="1"/>
    <col min="8713" max="8713" width="12.28515625" style="2" customWidth="1"/>
    <col min="8714" max="8714" width="0" style="2" hidden="1" customWidth="1"/>
    <col min="8715" max="8715" width="9.28515625" style="2" customWidth="1"/>
    <col min="8716" max="8718" width="11.5703125" style="2" customWidth="1"/>
    <col min="8719" max="8719" width="13.85546875" style="2" customWidth="1"/>
    <col min="8720" max="8721" width="11.5703125" style="2" customWidth="1"/>
    <col min="8722" max="8722" width="15.140625" style="2" customWidth="1"/>
    <col min="8723" max="8723" width="11.85546875" style="2" customWidth="1"/>
    <col min="8724" max="8724" width="14" style="2" customWidth="1"/>
    <col min="8725" max="8960" width="11.42578125" style="2"/>
    <col min="8961" max="8961" width="38.7109375" style="2" customWidth="1"/>
    <col min="8962" max="8964" width="9.7109375" style="2" customWidth="1"/>
    <col min="8965" max="8966" width="0" style="2" hidden="1" customWidth="1"/>
    <col min="8967" max="8967" width="18.140625" style="2" customWidth="1"/>
    <col min="8968" max="8968" width="6.140625" style="2" customWidth="1"/>
    <col min="8969" max="8969" width="12.28515625" style="2" customWidth="1"/>
    <col min="8970" max="8970" width="0" style="2" hidden="1" customWidth="1"/>
    <col min="8971" max="8971" width="9.28515625" style="2" customWidth="1"/>
    <col min="8972" max="8974" width="11.5703125" style="2" customWidth="1"/>
    <col min="8975" max="8975" width="13.85546875" style="2" customWidth="1"/>
    <col min="8976" max="8977" width="11.5703125" style="2" customWidth="1"/>
    <col min="8978" max="8978" width="15.140625" style="2" customWidth="1"/>
    <col min="8979" max="8979" width="11.85546875" style="2" customWidth="1"/>
    <col min="8980" max="8980" width="14" style="2" customWidth="1"/>
    <col min="8981" max="9216" width="11.42578125" style="2"/>
    <col min="9217" max="9217" width="38.7109375" style="2" customWidth="1"/>
    <col min="9218" max="9220" width="9.7109375" style="2" customWidth="1"/>
    <col min="9221" max="9222" width="0" style="2" hidden="1" customWidth="1"/>
    <col min="9223" max="9223" width="18.140625" style="2" customWidth="1"/>
    <col min="9224" max="9224" width="6.140625" style="2" customWidth="1"/>
    <col min="9225" max="9225" width="12.28515625" style="2" customWidth="1"/>
    <col min="9226" max="9226" width="0" style="2" hidden="1" customWidth="1"/>
    <col min="9227" max="9227" width="9.28515625" style="2" customWidth="1"/>
    <col min="9228" max="9230" width="11.5703125" style="2" customWidth="1"/>
    <col min="9231" max="9231" width="13.85546875" style="2" customWidth="1"/>
    <col min="9232" max="9233" width="11.5703125" style="2" customWidth="1"/>
    <col min="9234" max="9234" width="15.140625" style="2" customWidth="1"/>
    <col min="9235" max="9235" width="11.85546875" style="2" customWidth="1"/>
    <col min="9236" max="9236" width="14" style="2" customWidth="1"/>
    <col min="9237" max="9472" width="11.42578125" style="2"/>
    <col min="9473" max="9473" width="38.7109375" style="2" customWidth="1"/>
    <col min="9474" max="9476" width="9.7109375" style="2" customWidth="1"/>
    <col min="9477" max="9478" width="0" style="2" hidden="1" customWidth="1"/>
    <col min="9479" max="9479" width="18.140625" style="2" customWidth="1"/>
    <col min="9480" max="9480" width="6.140625" style="2" customWidth="1"/>
    <col min="9481" max="9481" width="12.28515625" style="2" customWidth="1"/>
    <col min="9482" max="9482" width="0" style="2" hidden="1" customWidth="1"/>
    <col min="9483" max="9483" width="9.28515625" style="2" customWidth="1"/>
    <col min="9484" max="9486" width="11.5703125" style="2" customWidth="1"/>
    <col min="9487" max="9487" width="13.85546875" style="2" customWidth="1"/>
    <col min="9488" max="9489" width="11.5703125" style="2" customWidth="1"/>
    <col min="9490" max="9490" width="15.140625" style="2" customWidth="1"/>
    <col min="9491" max="9491" width="11.85546875" style="2" customWidth="1"/>
    <col min="9492" max="9492" width="14" style="2" customWidth="1"/>
    <col min="9493" max="9728" width="11.42578125" style="2"/>
    <col min="9729" max="9729" width="38.7109375" style="2" customWidth="1"/>
    <col min="9730" max="9732" width="9.7109375" style="2" customWidth="1"/>
    <col min="9733" max="9734" width="0" style="2" hidden="1" customWidth="1"/>
    <col min="9735" max="9735" width="18.140625" style="2" customWidth="1"/>
    <col min="9736" max="9736" width="6.140625" style="2" customWidth="1"/>
    <col min="9737" max="9737" width="12.28515625" style="2" customWidth="1"/>
    <col min="9738" max="9738" width="0" style="2" hidden="1" customWidth="1"/>
    <col min="9739" max="9739" width="9.28515625" style="2" customWidth="1"/>
    <col min="9740" max="9742" width="11.5703125" style="2" customWidth="1"/>
    <col min="9743" max="9743" width="13.85546875" style="2" customWidth="1"/>
    <col min="9744" max="9745" width="11.5703125" style="2" customWidth="1"/>
    <col min="9746" max="9746" width="15.140625" style="2" customWidth="1"/>
    <col min="9747" max="9747" width="11.85546875" style="2" customWidth="1"/>
    <col min="9748" max="9748" width="14" style="2" customWidth="1"/>
    <col min="9749" max="9984" width="11.42578125" style="2"/>
    <col min="9985" max="9985" width="38.7109375" style="2" customWidth="1"/>
    <col min="9986" max="9988" width="9.7109375" style="2" customWidth="1"/>
    <col min="9989" max="9990" width="0" style="2" hidden="1" customWidth="1"/>
    <col min="9991" max="9991" width="18.140625" style="2" customWidth="1"/>
    <col min="9992" max="9992" width="6.140625" style="2" customWidth="1"/>
    <col min="9993" max="9993" width="12.28515625" style="2" customWidth="1"/>
    <col min="9994" max="9994" width="0" style="2" hidden="1" customWidth="1"/>
    <col min="9995" max="9995" width="9.28515625" style="2" customWidth="1"/>
    <col min="9996" max="9998" width="11.5703125" style="2" customWidth="1"/>
    <col min="9999" max="9999" width="13.85546875" style="2" customWidth="1"/>
    <col min="10000" max="10001" width="11.5703125" style="2" customWidth="1"/>
    <col min="10002" max="10002" width="15.140625" style="2" customWidth="1"/>
    <col min="10003" max="10003" width="11.85546875" style="2" customWidth="1"/>
    <col min="10004" max="10004" width="14" style="2" customWidth="1"/>
    <col min="10005" max="10240" width="11.42578125" style="2"/>
    <col min="10241" max="10241" width="38.7109375" style="2" customWidth="1"/>
    <col min="10242" max="10244" width="9.7109375" style="2" customWidth="1"/>
    <col min="10245" max="10246" width="0" style="2" hidden="1" customWidth="1"/>
    <col min="10247" max="10247" width="18.140625" style="2" customWidth="1"/>
    <col min="10248" max="10248" width="6.140625" style="2" customWidth="1"/>
    <col min="10249" max="10249" width="12.28515625" style="2" customWidth="1"/>
    <col min="10250" max="10250" width="0" style="2" hidden="1" customWidth="1"/>
    <col min="10251" max="10251" width="9.28515625" style="2" customWidth="1"/>
    <col min="10252" max="10254" width="11.5703125" style="2" customWidth="1"/>
    <col min="10255" max="10255" width="13.85546875" style="2" customWidth="1"/>
    <col min="10256" max="10257" width="11.5703125" style="2" customWidth="1"/>
    <col min="10258" max="10258" width="15.140625" style="2" customWidth="1"/>
    <col min="10259" max="10259" width="11.85546875" style="2" customWidth="1"/>
    <col min="10260" max="10260" width="14" style="2" customWidth="1"/>
    <col min="10261" max="10496" width="11.42578125" style="2"/>
    <col min="10497" max="10497" width="38.7109375" style="2" customWidth="1"/>
    <col min="10498" max="10500" width="9.7109375" style="2" customWidth="1"/>
    <col min="10501" max="10502" width="0" style="2" hidden="1" customWidth="1"/>
    <col min="10503" max="10503" width="18.140625" style="2" customWidth="1"/>
    <col min="10504" max="10504" width="6.140625" style="2" customWidth="1"/>
    <col min="10505" max="10505" width="12.28515625" style="2" customWidth="1"/>
    <col min="10506" max="10506" width="0" style="2" hidden="1" customWidth="1"/>
    <col min="10507" max="10507" width="9.28515625" style="2" customWidth="1"/>
    <col min="10508" max="10510" width="11.5703125" style="2" customWidth="1"/>
    <col min="10511" max="10511" width="13.85546875" style="2" customWidth="1"/>
    <col min="10512" max="10513" width="11.5703125" style="2" customWidth="1"/>
    <col min="10514" max="10514" width="15.140625" style="2" customWidth="1"/>
    <col min="10515" max="10515" width="11.85546875" style="2" customWidth="1"/>
    <col min="10516" max="10516" width="14" style="2" customWidth="1"/>
    <col min="10517" max="10752" width="11.42578125" style="2"/>
    <col min="10753" max="10753" width="38.7109375" style="2" customWidth="1"/>
    <col min="10754" max="10756" width="9.7109375" style="2" customWidth="1"/>
    <col min="10757" max="10758" width="0" style="2" hidden="1" customWidth="1"/>
    <col min="10759" max="10759" width="18.140625" style="2" customWidth="1"/>
    <col min="10760" max="10760" width="6.140625" style="2" customWidth="1"/>
    <col min="10761" max="10761" width="12.28515625" style="2" customWidth="1"/>
    <col min="10762" max="10762" width="0" style="2" hidden="1" customWidth="1"/>
    <col min="10763" max="10763" width="9.28515625" style="2" customWidth="1"/>
    <col min="10764" max="10766" width="11.5703125" style="2" customWidth="1"/>
    <col min="10767" max="10767" width="13.85546875" style="2" customWidth="1"/>
    <col min="10768" max="10769" width="11.5703125" style="2" customWidth="1"/>
    <col min="10770" max="10770" width="15.140625" style="2" customWidth="1"/>
    <col min="10771" max="10771" width="11.85546875" style="2" customWidth="1"/>
    <col min="10772" max="10772" width="14" style="2" customWidth="1"/>
    <col min="10773" max="11008" width="11.42578125" style="2"/>
    <col min="11009" max="11009" width="38.7109375" style="2" customWidth="1"/>
    <col min="11010" max="11012" width="9.7109375" style="2" customWidth="1"/>
    <col min="11013" max="11014" width="0" style="2" hidden="1" customWidth="1"/>
    <col min="11015" max="11015" width="18.140625" style="2" customWidth="1"/>
    <col min="11016" max="11016" width="6.140625" style="2" customWidth="1"/>
    <col min="11017" max="11017" width="12.28515625" style="2" customWidth="1"/>
    <col min="11018" max="11018" width="0" style="2" hidden="1" customWidth="1"/>
    <col min="11019" max="11019" width="9.28515625" style="2" customWidth="1"/>
    <col min="11020" max="11022" width="11.5703125" style="2" customWidth="1"/>
    <col min="11023" max="11023" width="13.85546875" style="2" customWidth="1"/>
    <col min="11024" max="11025" width="11.5703125" style="2" customWidth="1"/>
    <col min="11026" max="11026" width="15.140625" style="2" customWidth="1"/>
    <col min="11027" max="11027" width="11.85546875" style="2" customWidth="1"/>
    <col min="11028" max="11028" width="14" style="2" customWidth="1"/>
    <col min="11029" max="11264" width="11.42578125" style="2"/>
    <col min="11265" max="11265" width="38.7109375" style="2" customWidth="1"/>
    <col min="11266" max="11268" width="9.7109375" style="2" customWidth="1"/>
    <col min="11269" max="11270" width="0" style="2" hidden="1" customWidth="1"/>
    <col min="11271" max="11271" width="18.140625" style="2" customWidth="1"/>
    <col min="11272" max="11272" width="6.140625" style="2" customWidth="1"/>
    <col min="11273" max="11273" width="12.28515625" style="2" customWidth="1"/>
    <col min="11274" max="11274" width="0" style="2" hidden="1" customWidth="1"/>
    <col min="11275" max="11275" width="9.28515625" style="2" customWidth="1"/>
    <col min="11276" max="11278" width="11.5703125" style="2" customWidth="1"/>
    <col min="11279" max="11279" width="13.85546875" style="2" customWidth="1"/>
    <col min="11280" max="11281" width="11.5703125" style="2" customWidth="1"/>
    <col min="11282" max="11282" width="15.140625" style="2" customWidth="1"/>
    <col min="11283" max="11283" width="11.85546875" style="2" customWidth="1"/>
    <col min="11284" max="11284" width="14" style="2" customWidth="1"/>
    <col min="11285" max="11520" width="11.42578125" style="2"/>
    <col min="11521" max="11521" width="38.7109375" style="2" customWidth="1"/>
    <col min="11522" max="11524" width="9.7109375" style="2" customWidth="1"/>
    <col min="11525" max="11526" width="0" style="2" hidden="1" customWidth="1"/>
    <col min="11527" max="11527" width="18.140625" style="2" customWidth="1"/>
    <col min="11528" max="11528" width="6.140625" style="2" customWidth="1"/>
    <col min="11529" max="11529" width="12.28515625" style="2" customWidth="1"/>
    <col min="11530" max="11530" width="0" style="2" hidden="1" customWidth="1"/>
    <col min="11531" max="11531" width="9.28515625" style="2" customWidth="1"/>
    <col min="11532" max="11534" width="11.5703125" style="2" customWidth="1"/>
    <col min="11535" max="11535" width="13.85546875" style="2" customWidth="1"/>
    <col min="11536" max="11537" width="11.5703125" style="2" customWidth="1"/>
    <col min="11538" max="11538" width="15.140625" style="2" customWidth="1"/>
    <col min="11539" max="11539" width="11.85546875" style="2" customWidth="1"/>
    <col min="11540" max="11540" width="14" style="2" customWidth="1"/>
    <col min="11541" max="11776" width="11.42578125" style="2"/>
    <col min="11777" max="11777" width="38.7109375" style="2" customWidth="1"/>
    <col min="11778" max="11780" width="9.7109375" style="2" customWidth="1"/>
    <col min="11781" max="11782" width="0" style="2" hidden="1" customWidth="1"/>
    <col min="11783" max="11783" width="18.140625" style="2" customWidth="1"/>
    <col min="11784" max="11784" width="6.140625" style="2" customWidth="1"/>
    <col min="11785" max="11785" width="12.28515625" style="2" customWidth="1"/>
    <col min="11786" max="11786" width="0" style="2" hidden="1" customWidth="1"/>
    <col min="11787" max="11787" width="9.28515625" style="2" customWidth="1"/>
    <col min="11788" max="11790" width="11.5703125" style="2" customWidth="1"/>
    <col min="11791" max="11791" width="13.85546875" style="2" customWidth="1"/>
    <col min="11792" max="11793" width="11.5703125" style="2" customWidth="1"/>
    <col min="11794" max="11794" width="15.140625" style="2" customWidth="1"/>
    <col min="11795" max="11795" width="11.85546875" style="2" customWidth="1"/>
    <col min="11796" max="11796" width="14" style="2" customWidth="1"/>
    <col min="11797" max="12032" width="11.42578125" style="2"/>
    <col min="12033" max="12033" width="38.7109375" style="2" customWidth="1"/>
    <col min="12034" max="12036" width="9.7109375" style="2" customWidth="1"/>
    <col min="12037" max="12038" width="0" style="2" hidden="1" customWidth="1"/>
    <col min="12039" max="12039" width="18.140625" style="2" customWidth="1"/>
    <col min="12040" max="12040" width="6.140625" style="2" customWidth="1"/>
    <col min="12041" max="12041" width="12.28515625" style="2" customWidth="1"/>
    <col min="12042" max="12042" width="0" style="2" hidden="1" customWidth="1"/>
    <col min="12043" max="12043" width="9.28515625" style="2" customWidth="1"/>
    <col min="12044" max="12046" width="11.5703125" style="2" customWidth="1"/>
    <col min="12047" max="12047" width="13.85546875" style="2" customWidth="1"/>
    <col min="12048" max="12049" width="11.5703125" style="2" customWidth="1"/>
    <col min="12050" max="12050" width="15.140625" style="2" customWidth="1"/>
    <col min="12051" max="12051" width="11.85546875" style="2" customWidth="1"/>
    <col min="12052" max="12052" width="14" style="2" customWidth="1"/>
    <col min="12053" max="12288" width="11.42578125" style="2"/>
    <col min="12289" max="12289" width="38.7109375" style="2" customWidth="1"/>
    <col min="12290" max="12292" width="9.7109375" style="2" customWidth="1"/>
    <col min="12293" max="12294" width="0" style="2" hidden="1" customWidth="1"/>
    <col min="12295" max="12295" width="18.140625" style="2" customWidth="1"/>
    <col min="12296" max="12296" width="6.140625" style="2" customWidth="1"/>
    <col min="12297" max="12297" width="12.28515625" style="2" customWidth="1"/>
    <col min="12298" max="12298" width="0" style="2" hidden="1" customWidth="1"/>
    <col min="12299" max="12299" width="9.28515625" style="2" customWidth="1"/>
    <col min="12300" max="12302" width="11.5703125" style="2" customWidth="1"/>
    <col min="12303" max="12303" width="13.85546875" style="2" customWidth="1"/>
    <col min="12304" max="12305" width="11.5703125" style="2" customWidth="1"/>
    <col min="12306" max="12306" width="15.140625" style="2" customWidth="1"/>
    <col min="12307" max="12307" width="11.85546875" style="2" customWidth="1"/>
    <col min="12308" max="12308" width="14" style="2" customWidth="1"/>
    <col min="12309" max="12544" width="11.42578125" style="2"/>
    <col min="12545" max="12545" width="38.7109375" style="2" customWidth="1"/>
    <col min="12546" max="12548" width="9.7109375" style="2" customWidth="1"/>
    <col min="12549" max="12550" width="0" style="2" hidden="1" customWidth="1"/>
    <col min="12551" max="12551" width="18.140625" style="2" customWidth="1"/>
    <col min="12552" max="12552" width="6.140625" style="2" customWidth="1"/>
    <col min="12553" max="12553" width="12.28515625" style="2" customWidth="1"/>
    <col min="12554" max="12554" width="0" style="2" hidden="1" customWidth="1"/>
    <col min="12555" max="12555" width="9.28515625" style="2" customWidth="1"/>
    <col min="12556" max="12558" width="11.5703125" style="2" customWidth="1"/>
    <col min="12559" max="12559" width="13.85546875" style="2" customWidth="1"/>
    <col min="12560" max="12561" width="11.5703125" style="2" customWidth="1"/>
    <col min="12562" max="12562" width="15.140625" style="2" customWidth="1"/>
    <col min="12563" max="12563" width="11.85546875" style="2" customWidth="1"/>
    <col min="12564" max="12564" width="14" style="2" customWidth="1"/>
    <col min="12565" max="12800" width="11.42578125" style="2"/>
    <col min="12801" max="12801" width="38.7109375" style="2" customWidth="1"/>
    <col min="12802" max="12804" width="9.7109375" style="2" customWidth="1"/>
    <col min="12805" max="12806" width="0" style="2" hidden="1" customWidth="1"/>
    <col min="12807" max="12807" width="18.140625" style="2" customWidth="1"/>
    <col min="12808" max="12808" width="6.140625" style="2" customWidth="1"/>
    <col min="12809" max="12809" width="12.28515625" style="2" customWidth="1"/>
    <col min="12810" max="12810" width="0" style="2" hidden="1" customWidth="1"/>
    <col min="12811" max="12811" width="9.28515625" style="2" customWidth="1"/>
    <col min="12812" max="12814" width="11.5703125" style="2" customWidth="1"/>
    <col min="12815" max="12815" width="13.85546875" style="2" customWidth="1"/>
    <col min="12816" max="12817" width="11.5703125" style="2" customWidth="1"/>
    <col min="12818" max="12818" width="15.140625" style="2" customWidth="1"/>
    <col min="12819" max="12819" width="11.85546875" style="2" customWidth="1"/>
    <col min="12820" max="12820" width="14" style="2" customWidth="1"/>
    <col min="12821" max="13056" width="11.42578125" style="2"/>
    <col min="13057" max="13057" width="38.7109375" style="2" customWidth="1"/>
    <col min="13058" max="13060" width="9.7109375" style="2" customWidth="1"/>
    <col min="13061" max="13062" width="0" style="2" hidden="1" customWidth="1"/>
    <col min="13063" max="13063" width="18.140625" style="2" customWidth="1"/>
    <col min="13064" max="13064" width="6.140625" style="2" customWidth="1"/>
    <col min="13065" max="13065" width="12.28515625" style="2" customWidth="1"/>
    <col min="13066" max="13066" width="0" style="2" hidden="1" customWidth="1"/>
    <col min="13067" max="13067" width="9.28515625" style="2" customWidth="1"/>
    <col min="13068" max="13070" width="11.5703125" style="2" customWidth="1"/>
    <col min="13071" max="13071" width="13.85546875" style="2" customWidth="1"/>
    <col min="13072" max="13073" width="11.5703125" style="2" customWidth="1"/>
    <col min="13074" max="13074" width="15.140625" style="2" customWidth="1"/>
    <col min="13075" max="13075" width="11.85546875" style="2" customWidth="1"/>
    <col min="13076" max="13076" width="14" style="2" customWidth="1"/>
    <col min="13077" max="13312" width="11.42578125" style="2"/>
    <col min="13313" max="13313" width="38.7109375" style="2" customWidth="1"/>
    <col min="13314" max="13316" width="9.7109375" style="2" customWidth="1"/>
    <col min="13317" max="13318" width="0" style="2" hidden="1" customWidth="1"/>
    <col min="13319" max="13319" width="18.140625" style="2" customWidth="1"/>
    <col min="13320" max="13320" width="6.140625" style="2" customWidth="1"/>
    <col min="13321" max="13321" width="12.28515625" style="2" customWidth="1"/>
    <col min="13322" max="13322" width="0" style="2" hidden="1" customWidth="1"/>
    <col min="13323" max="13323" width="9.28515625" style="2" customWidth="1"/>
    <col min="13324" max="13326" width="11.5703125" style="2" customWidth="1"/>
    <col min="13327" max="13327" width="13.85546875" style="2" customWidth="1"/>
    <col min="13328" max="13329" width="11.5703125" style="2" customWidth="1"/>
    <col min="13330" max="13330" width="15.140625" style="2" customWidth="1"/>
    <col min="13331" max="13331" width="11.85546875" style="2" customWidth="1"/>
    <col min="13332" max="13332" width="14" style="2" customWidth="1"/>
    <col min="13333" max="13568" width="11.42578125" style="2"/>
    <col min="13569" max="13569" width="38.7109375" style="2" customWidth="1"/>
    <col min="13570" max="13572" width="9.7109375" style="2" customWidth="1"/>
    <col min="13573" max="13574" width="0" style="2" hidden="1" customWidth="1"/>
    <col min="13575" max="13575" width="18.140625" style="2" customWidth="1"/>
    <col min="13576" max="13576" width="6.140625" style="2" customWidth="1"/>
    <col min="13577" max="13577" width="12.28515625" style="2" customWidth="1"/>
    <col min="13578" max="13578" width="0" style="2" hidden="1" customWidth="1"/>
    <col min="13579" max="13579" width="9.28515625" style="2" customWidth="1"/>
    <col min="13580" max="13582" width="11.5703125" style="2" customWidth="1"/>
    <col min="13583" max="13583" width="13.85546875" style="2" customWidth="1"/>
    <col min="13584" max="13585" width="11.5703125" style="2" customWidth="1"/>
    <col min="13586" max="13586" width="15.140625" style="2" customWidth="1"/>
    <col min="13587" max="13587" width="11.85546875" style="2" customWidth="1"/>
    <col min="13588" max="13588" width="14" style="2" customWidth="1"/>
    <col min="13589" max="13824" width="11.42578125" style="2"/>
    <col min="13825" max="13825" width="38.7109375" style="2" customWidth="1"/>
    <col min="13826" max="13828" width="9.7109375" style="2" customWidth="1"/>
    <col min="13829" max="13830" width="0" style="2" hidden="1" customWidth="1"/>
    <col min="13831" max="13831" width="18.140625" style="2" customWidth="1"/>
    <col min="13832" max="13832" width="6.140625" style="2" customWidth="1"/>
    <col min="13833" max="13833" width="12.28515625" style="2" customWidth="1"/>
    <col min="13834" max="13834" width="0" style="2" hidden="1" customWidth="1"/>
    <col min="13835" max="13835" width="9.28515625" style="2" customWidth="1"/>
    <col min="13836" max="13838" width="11.5703125" style="2" customWidth="1"/>
    <col min="13839" max="13839" width="13.85546875" style="2" customWidth="1"/>
    <col min="13840" max="13841" width="11.5703125" style="2" customWidth="1"/>
    <col min="13842" max="13842" width="15.140625" style="2" customWidth="1"/>
    <col min="13843" max="13843" width="11.85546875" style="2" customWidth="1"/>
    <col min="13844" max="13844" width="14" style="2" customWidth="1"/>
    <col min="13845" max="14080" width="11.42578125" style="2"/>
    <col min="14081" max="14081" width="38.7109375" style="2" customWidth="1"/>
    <col min="14082" max="14084" width="9.7109375" style="2" customWidth="1"/>
    <col min="14085" max="14086" width="0" style="2" hidden="1" customWidth="1"/>
    <col min="14087" max="14087" width="18.140625" style="2" customWidth="1"/>
    <col min="14088" max="14088" width="6.140625" style="2" customWidth="1"/>
    <col min="14089" max="14089" width="12.28515625" style="2" customWidth="1"/>
    <col min="14090" max="14090" width="0" style="2" hidden="1" customWidth="1"/>
    <col min="14091" max="14091" width="9.28515625" style="2" customWidth="1"/>
    <col min="14092" max="14094" width="11.5703125" style="2" customWidth="1"/>
    <col min="14095" max="14095" width="13.85546875" style="2" customWidth="1"/>
    <col min="14096" max="14097" width="11.5703125" style="2" customWidth="1"/>
    <col min="14098" max="14098" width="15.140625" style="2" customWidth="1"/>
    <col min="14099" max="14099" width="11.85546875" style="2" customWidth="1"/>
    <col min="14100" max="14100" width="14" style="2" customWidth="1"/>
    <col min="14101" max="14336" width="11.42578125" style="2"/>
    <col min="14337" max="14337" width="38.7109375" style="2" customWidth="1"/>
    <col min="14338" max="14340" width="9.7109375" style="2" customWidth="1"/>
    <col min="14341" max="14342" width="0" style="2" hidden="1" customWidth="1"/>
    <col min="14343" max="14343" width="18.140625" style="2" customWidth="1"/>
    <col min="14344" max="14344" width="6.140625" style="2" customWidth="1"/>
    <col min="14345" max="14345" width="12.28515625" style="2" customWidth="1"/>
    <col min="14346" max="14346" width="0" style="2" hidden="1" customWidth="1"/>
    <col min="14347" max="14347" width="9.28515625" style="2" customWidth="1"/>
    <col min="14348" max="14350" width="11.5703125" style="2" customWidth="1"/>
    <col min="14351" max="14351" width="13.85546875" style="2" customWidth="1"/>
    <col min="14352" max="14353" width="11.5703125" style="2" customWidth="1"/>
    <col min="14354" max="14354" width="15.140625" style="2" customWidth="1"/>
    <col min="14355" max="14355" width="11.85546875" style="2" customWidth="1"/>
    <col min="14356" max="14356" width="14" style="2" customWidth="1"/>
    <col min="14357" max="14592" width="11.42578125" style="2"/>
    <col min="14593" max="14593" width="38.7109375" style="2" customWidth="1"/>
    <col min="14594" max="14596" width="9.7109375" style="2" customWidth="1"/>
    <col min="14597" max="14598" width="0" style="2" hidden="1" customWidth="1"/>
    <col min="14599" max="14599" width="18.140625" style="2" customWidth="1"/>
    <col min="14600" max="14600" width="6.140625" style="2" customWidth="1"/>
    <col min="14601" max="14601" width="12.28515625" style="2" customWidth="1"/>
    <col min="14602" max="14602" width="0" style="2" hidden="1" customWidth="1"/>
    <col min="14603" max="14603" width="9.28515625" style="2" customWidth="1"/>
    <col min="14604" max="14606" width="11.5703125" style="2" customWidth="1"/>
    <col min="14607" max="14607" width="13.85546875" style="2" customWidth="1"/>
    <col min="14608" max="14609" width="11.5703125" style="2" customWidth="1"/>
    <col min="14610" max="14610" width="15.140625" style="2" customWidth="1"/>
    <col min="14611" max="14611" width="11.85546875" style="2" customWidth="1"/>
    <col min="14612" max="14612" width="14" style="2" customWidth="1"/>
    <col min="14613" max="14848" width="11.42578125" style="2"/>
    <col min="14849" max="14849" width="38.7109375" style="2" customWidth="1"/>
    <col min="14850" max="14852" width="9.7109375" style="2" customWidth="1"/>
    <col min="14853" max="14854" width="0" style="2" hidden="1" customWidth="1"/>
    <col min="14855" max="14855" width="18.140625" style="2" customWidth="1"/>
    <col min="14856" max="14856" width="6.140625" style="2" customWidth="1"/>
    <col min="14857" max="14857" width="12.28515625" style="2" customWidth="1"/>
    <col min="14858" max="14858" width="0" style="2" hidden="1" customWidth="1"/>
    <col min="14859" max="14859" width="9.28515625" style="2" customWidth="1"/>
    <col min="14860" max="14862" width="11.5703125" style="2" customWidth="1"/>
    <col min="14863" max="14863" width="13.85546875" style="2" customWidth="1"/>
    <col min="14864" max="14865" width="11.5703125" style="2" customWidth="1"/>
    <col min="14866" max="14866" width="15.140625" style="2" customWidth="1"/>
    <col min="14867" max="14867" width="11.85546875" style="2" customWidth="1"/>
    <col min="14868" max="14868" width="14" style="2" customWidth="1"/>
    <col min="14869" max="15104" width="11.42578125" style="2"/>
    <col min="15105" max="15105" width="38.7109375" style="2" customWidth="1"/>
    <col min="15106" max="15108" width="9.7109375" style="2" customWidth="1"/>
    <col min="15109" max="15110" width="0" style="2" hidden="1" customWidth="1"/>
    <col min="15111" max="15111" width="18.140625" style="2" customWidth="1"/>
    <col min="15112" max="15112" width="6.140625" style="2" customWidth="1"/>
    <col min="15113" max="15113" width="12.28515625" style="2" customWidth="1"/>
    <col min="15114" max="15114" width="0" style="2" hidden="1" customWidth="1"/>
    <col min="15115" max="15115" width="9.28515625" style="2" customWidth="1"/>
    <col min="15116" max="15118" width="11.5703125" style="2" customWidth="1"/>
    <col min="15119" max="15119" width="13.85546875" style="2" customWidth="1"/>
    <col min="15120" max="15121" width="11.5703125" style="2" customWidth="1"/>
    <col min="15122" max="15122" width="15.140625" style="2" customWidth="1"/>
    <col min="15123" max="15123" width="11.85546875" style="2" customWidth="1"/>
    <col min="15124" max="15124" width="14" style="2" customWidth="1"/>
    <col min="15125" max="15360" width="11.42578125" style="2"/>
    <col min="15361" max="15361" width="38.7109375" style="2" customWidth="1"/>
    <col min="15362" max="15364" width="9.7109375" style="2" customWidth="1"/>
    <col min="15365" max="15366" width="0" style="2" hidden="1" customWidth="1"/>
    <col min="15367" max="15367" width="18.140625" style="2" customWidth="1"/>
    <col min="15368" max="15368" width="6.140625" style="2" customWidth="1"/>
    <col min="15369" max="15369" width="12.28515625" style="2" customWidth="1"/>
    <col min="15370" max="15370" width="0" style="2" hidden="1" customWidth="1"/>
    <col min="15371" max="15371" width="9.28515625" style="2" customWidth="1"/>
    <col min="15372" max="15374" width="11.5703125" style="2" customWidth="1"/>
    <col min="15375" max="15375" width="13.85546875" style="2" customWidth="1"/>
    <col min="15376" max="15377" width="11.5703125" style="2" customWidth="1"/>
    <col min="15378" max="15378" width="15.140625" style="2" customWidth="1"/>
    <col min="15379" max="15379" width="11.85546875" style="2" customWidth="1"/>
    <col min="15380" max="15380" width="14" style="2" customWidth="1"/>
    <col min="15381" max="15616" width="11.42578125" style="2"/>
    <col min="15617" max="15617" width="38.7109375" style="2" customWidth="1"/>
    <col min="15618" max="15620" width="9.7109375" style="2" customWidth="1"/>
    <col min="15621" max="15622" width="0" style="2" hidden="1" customWidth="1"/>
    <col min="15623" max="15623" width="18.140625" style="2" customWidth="1"/>
    <col min="15624" max="15624" width="6.140625" style="2" customWidth="1"/>
    <col min="15625" max="15625" width="12.28515625" style="2" customWidth="1"/>
    <col min="15626" max="15626" width="0" style="2" hidden="1" customWidth="1"/>
    <col min="15627" max="15627" width="9.28515625" style="2" customWidth="1"/>
    <col min="15628" max="15630" width="11.5703125" style="2" customWidth="1"/>
    <col min="15631" max="15631" width="13.85546875" style="2" customWidth="1"/>
    <col min="15632" max="15633" width="11.5703125" style="2" customWidth="1"/>
    <col min="15634" max="15634" width="15.140625" style="2" customWidth="1"/>
    <col min="15635" max="15635" width="11.85546875" style="2" customWidth="1"/>
    <col min="15636" max="15636" width="14" style="2" customWidth="1"/>
    <col min="15637" max="15872" width="11.42578125" style="2"/>
    <col min="15873" max="15873" width="38.7109375" style="2" customWidth="1"/>
    <col min="15874" max="15876" width="9.7109375" style="2" customWidth="1"/>
    <col min="15877" max="15878" width="0" style="2" hidden="1" customWidth="1"/>
    <col min="15879" max="15879" width="18.140625" style="2" customWidth="1"/>
    <col min="15880" max="15880" width="6.140625" style="2" customWidth="1"/>
    <col min="15881" max="15881" width="12.28515625" style="2" customWidth="1"/>
    <col min="15882" max="15882" width="0" style="2" hidden="1" customWidth="1"/>
    <col min="15883" max="15883" width="9.28515625" style="2" customWidth="1"/>
    <col min="15884" max="15886" width="11.5703125" style="2" customWidth="1"/>
    <col min="15887" max="15887" width="13.85546875" style="2" customWidth="1"/>
    <col min="15888" max="15889" width="11.5703125" style="2" customWidth="1"/>
    <col min="15890" max="15890" width="15.140625" style="2" customWidth="1"/>
    <col min="15891" max="15891" width="11.85546875" style="2" customWidth="1"/>
    <col min="15892" max="15892" width="14" style="2" customWidth="1"/>
    <col min="15893" max="16128" width="11.42578125" style="2"/>
    <col min="16129" max="16129" width="38.7109375" style="2" customWidth="1"/>
    <col min="16130" max="16132" width="9.7109375" style="2" customWidth="1"/>
    <col min="16133" max="16134" width="0" style="2" hidden="1" customWidth="1"/>
    <col min="16135" max="16135" width="18.140625" style="2" customWidth="1"/>
    <col min="16136" max="16136" width="6.140625" style="2" customWidth="1"/>
    <col min="16137" max="16137" width="12.28515625" style="2" customWidth="1"/>
    <col min="16138" max="16138" width="0" style="2" hidden="1" customWidth="1"/>
    <col min="16139" max="16139" width="9.28515625" style="2" customWidth="1"/>
    <col min="16140" max="16142" width="11.5703125" style="2" customWidth="1"/>
    <col min="16143" max="16143" width="13.85546875" style="2" customWidth="1"/>
    <col min="16144" max="16145" width="11.5703125" style="2" customWidth="1"/>
    <col min="16146" max="16146" width="15.140625" style="2" customWidth="1"/>
    <col min="16147" max="16147" width="11.85546875" style="2" customWidth="1"/>
    <col min="16148" max="16148" width="14" style="2" customWidth="1"/>
    <col min="16149" max="16384" width="11.42578125" style="2"/>
  </cols>
  <sheetData>
    <row r="1" spans="1:24" ht="26.25" x14ac:dyDescent="0.4">
      <c r="A1" s="75" t="s">
        <v>19</v>
      </c>
    </row>
    <row r="2" spans="1:24" s="27" customFormat="1" ht="26.25" x14ac:dyDescent="0.4">
      <c r="A2" s="75" t="s">
        <v>20</v>
      </c>
      <c r="E2" s="72"/>
      <c r="F2" s="72"/>
      <c r="G2" s="72"/>
      <c r="H2" s="72"/>
      <c r="I2" s="72"/>
      <c r="J2" s="72"/>
      <c r="K2" s="28"/>
      <c r="M2" s="29"/>
      <c r="N2" s="28"/>
      <c r="O2" s="57"/>
      <c r="Q2" s="29"/>
    </row>
    <row r="3" spans="1:24" s="27" customFormat="1" ht="26.25" x14ac:dyDescent="0.4">
      <c r="A3" s="2" t="s">
        <v>466</v>
      </c>
      <c r="E3" s="72"/>
      <c r="F3" s="72"/>
      <c r="G3" s="72"/>
      <c r="H3" s="72"/>
      <c r="I3" s="72"/>
      <c r="J3" s="72"/>
      <c r="K3" s="28"/>
      <c r="M3" s="29"/>
      <c r="N3" s="28"/>
      <c r="O3" s="57"/>
      <c r="Q3" s="29"/>
    </row>
    <row r="4" spans="1:24" x14ac:dyDescent="0.25">
      <c r="A4" s="1248" t="s">
        <v>707</v>
      </c>
      <c r="B4" s="1248"/>
      <c r="C4" s="1248"/>
      <c r="D4" s="1248"/>
      <c r="E4" s="1248"/>
      <c r="F4" s="1248"/>
      <c r="G4" s="1248"/>
      <c r="H4" s="1248"/>
      <c r="I4" s="1248"/>
      <c r="J4" s="1248"/>
      <c r="K4" s="1248"/>
      <c r="L4" s="1248"/>
      <c r="M4" s="1248"/>
      <c r="N4" s="1248"/>
      <c r="O4" s="1248"/>
      <c r="P4" s="1248"/>
      <c r="Q4" s="1248"/>
      <c r="R4" s="1248"/>
      <c r="S4" s="1248"/>
      <c r="T4" s="1248"/>
    </row>
    <row r="5" spans="1:24" ht="18.75" thickBot="1" x14ac:dyDescent="0.3">
      <c r="A5" s="6" t="s">
        <v>708</v>
      </c>
      <c r="B5" s="7"/>
      <c r="C5" s="7"/>
      <c r="D5" s="7"/>
      <c r="E5" s="73"/>
      <c r="F5" s="73"/>
      <c r="G5" s="73"/>
      <c r="H5" s="73"/>
      <c r="I5" s="73"/>
      <c r="J5" s="73"/>
      <c r="K5" s="7"/>
      <c r="L5" s="7"/>
      <c r="M5" s="7"/>
      <c r="N5" s="67"/>
      <c r="O5" s="58"/>
      <c r="P5" s="7"/>
      <c r="Q5" s="7"/>
      <c r="R5" s="7"/>
      <c r="S5" s="7"/>
      <c r="T5" s="7"/>
    </row>
    <row r="6" spans="1:24" ht="72.75" customHeight="1" thickBot="1" x14ac:dyDescent="0.3">
      <c r="A6" s="1285" t="s">
        <v>0</v>
      </c>
      <c r="B6" s="1287" t="s">
        <v>1</v>
      </c>
      <c r="C6" s="1289" t="s">
        <v>2</v>
      </c>
      <c r="D6" s="1291" t="s">
        <v>3</v>
      </c>
      <c r="E6" s="1293" t="s">
        <v>56</v>
      </c>
      <c r="F6" s="673"/>
      <c r="G6" s="1293" t="s">
        <v>133</v>
      </c>
      <c r="H6" s="1293" t="s">
        <v>36</v>
      </c>
      <c r="I6" s="1293" t="s">
        <v>56</v>
      </c>
      <c r="J6" s="1293" t="s">
        <v>56</v>
      </c>
      <c r="K6" s="1279" t="s">
        <v>49</v>
      </c>
      <c r="L6" s="1280"/>
      <c r="M6" s="1281"/>
      <c r="N6" s="1282" t="s">
        <v>48</v>
      </c>
      <c r="O6" s="1283"/>
      <c r="P6" s="1279" t="s">
        <v>44</v>
      </c>
      <c r="Q6" s="1281"/>
      <c r="R6" s="1279" t="s">
        <v>340</v>
      </c>
      <c r="S6" s="1280"/>
      <c r="T6" s="1281"/>
    </row>
    <row r="7" spans="1:24" ht="38.25" customHeight="1" thickBot="1" x14ac:dyDescent="0.3">
      <c r="A7" s="1286"/>
      <c r="B7" s="1288"/>
      <c r="C7" s="1290"/>
      <c r="D7" s="1292"/>
      <c r="E7" s="1294"/>
      <c r="F7" s="674"/>
      <c r="G7" s="1294"/>
      <c r="H7" s="1294"/>
      <c r="I7" s="1294"/>
      <c r="J7" s="1294"/>
      <c r="K7" s="675" t="s">
        <v>5</v>
      </c>
      <c r="L7" s="676" t="s">
        <v>17</v>
      </c>
      <c r="M7" s="677" t="s">
        <v>18</v>
      </c>
      <c r="N7" s="678" t="s">
        <v>47</v>
      </c>
      <c r="O7" s="679" t="s">
        <v>18</v>
      </c>
      <c r="P7" s="680" t="s">
        <v>43</v>
      </c>
      <c r="Q7" s="681" t="s">
        <v>42</v>
      </c>
      <c r="R7" s="682" t="s">
        <v>6</v>
      </c>
      <c r="S7" s="683" t="s">
        <v>18</v>
      </c>
      <c r="T7" s="684" t="s">
        <v>22</v>
      </c>
    </row>
    <row r="8" spans="1:24" ht="20.100000000000001" customHeight="1" thickBot="1" x14ac:dyDescent="0.3">
      <c r="A8" s="35" t="s">
        <v>467</v>
      </c>
      <c r="B8" s="252">
        <v>1200</v>
      </c>
      <c r="C8" s="250">
        <v>600</v>
      </c>
      <c r="D8" s="251">
        <v>50</v>
      </c>
      <c r="E8" s="278"/>
      <c r="F8" s="278"/>
      <c r="G8" s="685">
        <v>404567</v>
      </c>
      <c r="H8" s="686" t="s">
        <v>239</v>
      </c>
      <c r="I8" s="177" t="str">
        <f>IF(H8="C",ROUNDUP(5500/90/ПолыDDP!O8,0)*ПолыDDP!O8," ")</f>
        <v xml:space="preserve"> </v>
      </c>
      <c r="J8" s="176"/>
      <c r="K8" s="311">
        <v>6</v>
      </c>
      <c r="L8" s="323">
        <v>4.32</v>
      </c>
      <c r="M8" s="327">
        <v>0.216</v>
      </c>
      <c r="N8" s="281">
        <v>32</v>
      </c>
      <c r="O8" s="283">
        <v>6.9119999999999999</v>
      </c>
      <c r="P8" s="229">
        <v>76.031999999999996</v>
      </c>
      <c r="Q8" s="321"/>
      <c r="R8" s="687">
        <f>M8*S8</f>
        <v>854.928</v>
      </c>
      <c r="S8" s="1168">
        <v>3958</v>
      </c>
      <c r="T8" s="688">
        <f t="shared" ref="T8:T20" si="0">S8*D8/1000</f>
        <v>197.9</v>
      </c>
      <c r="U8" s="4"/>
      <c r="W8" s="649"/>
      <c r="X8" s="1162"/>
    </row>
    <row r="9" spans="1:24" ht="20.100000000000001" customHeight="1" thickBot="1" x14ac:dyDescent="0.3">
      <c r="A9" s="689" t="s">
        <v>468</v>
      </c>
      <c r="B9" s="203">
        <v>1200</v>
      </c>
      <c r="C9" s="204">
        <v>600</v>
      </c>
      <c r="D9" s="209">
        <v>60</v>
      </c>
      <c r="E9" s="263">
        <v>125</v>
      </c>
      <c r="F9" s="263">
        <v>18.08449074074074</v>
      </c>
      <c r="G9" s="690">
        <v>404568</v>
      </c>
      <c r="H9" s="686" t="s">
        <v>339</v>
      </c>
      <c r="I9" s="177">
        <f>IF(H9="C",ROUNDUP(5500/90/ПолыDDP!O9,0)*ПолыDDP!O9," ")</f>
        <v>62.207999999999998</v>
      </c>
      <c r="J9" s="177">
        <v>393.98400000000004</v>
      </c>
      <c r="K9" s="97">
        <v>5</v>
      </c>
      <c r="L9" s="691">
        <v>3.6</v>
      </c>
      <c r="M9" s="692">
        <v>0.216</v>
      </c>
      <c r="N9" s="97">
        <v>32</v>
      </c>
      <c r="O9" s="126">
        <v>6.9119999999999999</v>
      </c>
      <c r="P9" s="231">
        <v>76.031999999999996</v>
      </c>
      <c r="Q9" s="266"/>
      <c r="R9" s="687">
        <f t="shared" ref="R9:R31" si="1">M9*S9</f>
        <v>854.928</v>
      </c>
      <c r="S9" s="1168">
        <v>3958</v>
      </c>
      <c r="T9" s="688">
        <f t="shared" si="0"/>
        <v>237.48</v>
      </c>
      <c r="U9" s="4"/>
      <c r="W9" s="649"/>
      <c r="X9" s="1162"/>
    </row>
    <row r="10" spans="1:24" ht="20.100000000000001" customHeight="1" thickBot="1" x14ac:dyDescent="0.3">
      <c r="A10" s="693"/>
      <c r="B10" s="203">
        <v>1200</v>
      </c>
      <c r="C10" s="204">
        <v>600</v>
      </c>
      <c r="D10" s="209">
        <v>70</v>
      </c>
      <c r="E10" s="263">
        <v>125</v>
      </c>
      <c r="F10" s="263">
        <v>19.376240079365079</v>
      </c>
      <c r="G10" s="690">
        <v>404571</v>
      </c>
      <c r="H10" s="686" t="s">
        <v>339</v>
      </c>
      <c r="I10" s="177">
        <f>IF(H10="C",ROUNDUP(5500/90/ПолыDDP!O10,0)*ПолыDDP!O10," ")</f>
        <v>64.512</v>
      </c>
      <c r="J10" s="177">
        <v>387.072</v>
      </c>
      <c r="K10" s="97">
        <v>4</v>
      </c>
      <c r="L10" s="166">
        <v>2.88</v>
      </c>
      <c r="M10" s="169">
        <v>0.2016</v>
      </c>
      <c r="N10" s="97">
        <v>32</v>
      </c>
      <c r="O10" s="126">
        <v>6.4512</v>
      </c>
      <c r="P10" s="231">
        <v>70.963200000000001</v>
      </c>
      <c r="Q10" s="266"/>
      <c r="R10" s="687">
        <f t="shared" si="1"/>
        <v>797.93280000000004</v>
      </c>
      <c r="S10" s="1168">
        <v>3958</v>
      </c>
      <c r="T10" s="688">
        <f t="shared" si="0"/>
        <v>277.06</v>
      </c>
      <c r="U10" s="4"/>
      <c r="W10" s="649"/>
      <c r="X10" s="1162"/>
    </row>
    <row r="11" spans="1:24" ht="20.100000000000001" customHeight="1" thickBot="1" x14ac:dyDescent="0.3">
      <c r="A11" s="693"/>
      <c r="B11" s="203">
        <v>1200</v>
      </c>
      <c r="C11" s="204">
        <v>600</v>
      </c>
      <c r="D11" s="209">
        <v>80</v>
      </c>
      <c r="E11" s="263"/>
      <c r="F11" s="263">
        <v>0</v>
      </c>
      <c r="G11" s="690">
        <v>404576</v>
      </c>
      <c r="H11" s="686" t="s">
        <v>339</v>
      </c>
      <c r="I11" s="177">
        <f>IF(H11="C",ROUNDUP(5500/90/ПолыDDP!O11,0)*ПолыDDP!O11," ")</f>
        <v>62.207999999999991</v>
      </c>
      <c r="J11" s="177"/>
      <c r="K11" s="97">
        <v>5</v>
      </c>
      <c r="L11" s="166">
        <v>3.6</v>
      </c>
      <c r="M11" s="169">
        <v>0.28799999999999998</v>
      </c>
      <c r="N11" s="97">
        <v>24</v>
      </c>
      <c r="O11" s="126">
        <v>6.911999999999999</v>
      </c>
      <c r="P11" s="231">
        <v>76.031999999999982</v>
      </c>
      <c r="Q11" s="266"/>
      <c r="R11" s="687">
        <f t="shared" si="1"/>
        <v>1139.904</v>
      </c>
      <c r="S11" s="1168">
        <v>3958</v>
      </c>
      <c r="T11" s="688">
        <f t="shared" si="0"/>
        <v>316.64</v>
      </c>
      <c r="U11" s="4"/>
      <c r="W11" s="649"/>
      <c r="X11" s="1162"/>
    </row>
    <row r="12" spans="1:24" ht="20.100000000000001" customHeight="1" thickBot="1" x14ac:dyDescent="0.3">
      <c r="A12" s="693"/>
      <c r="B12" s="203">
        <v>1200</v>
      </c>
      <c r="C12" s="204">
        <v>600</v>
      </c>
      <c r="D12" s="209">
        <v>90</v>
      </c>
      <c r="E12" s="263">
        <v>125</v>
      </c>
      <c r="F12" s="263">
        <v>20.093878600823047</v>
      </c>
      <c r="G12" s="690">
        <v>404578</v>
      </c>
      <c r="H12" s="686" t="s">
        <v>339</v>
      </c>
      <c r="I12" s="177">
        <f>IF(H12="C",ROUNDUP(5500/90/ПолыDDP!O12,0)*ПолыDDP!O12," ")</f>
        <v>62.207999999999998</v>
      </c>
      <c r="J12" s="177">
        <v>391.91039999999998</v>
      </c>
      <c r="K12" s="97">
        <v>4</v>
      </c>
      <c r="L12" s="166">
        <v>2.88</v>
      </c>
      <c r="M12" s="169">
        <v>0.25919999999999999</v>
      </c>
      <c r="N12" s="97">
        <v>24</v>
      </c>
      <c r="O12" s="126">
        <v>6.2207999999999997</v>
      </c>
      <c r="P12" s="231">
        <v>68.428799999999995</v>
      </c>
      <c r="Q12" s="266"/>
      <c r="R12" s="687">
        <f t="shared" si="1"/>
        <v>1025.9135999999999</v>
      </c>
      <c r="S12" s="1168">
        <v>3958</v>
      </c>
      <c r="T12" s="688">
        <f t="shared" si="0"/>
        <v>356.22</v>
      </c>
      <c r="U12" s="4"/>
      <c r="W12" s="649"/>
      <c r="X12" s="1162"/>
    </row>
    <row r="13" spans="1:24" ht="20.100000000000001" customHeight="1" thickBot="1" x14ac:dyDescent="0.3">
      <c r="A13" s="693"/>
      <c r="B13" s="203">
        <v>1200</v>
      </c>
      <c r="C13" s="204">
        <v>600</v>
      </c>
      <c r="D13" s="209">
        <v>100</v>
      </c>
      <c r="E13" s="263"/>
      <c r="F13" s="263">
        <v>0</v>
      </c>
      <c r="G13" s="690">
        <v>404579</v>
      </c>
      <c r="H13" s="686" t="s">
        <v>239</v>
      </c>
      <c r="I13" s="177" t="str">
        <f>IF(H13="C",ROUNDUP(5500/90/ПолыDDP!O13,0)*ПолыDDP!O13," ")</f>
        <v xml:space="preserve"> </v>
      </c>
      <c r="J13" s="177"/>
      <c r="K13" s="97">
        <v>4</v>
      </c>
      <c r="L13" s="166">
        <v>2.88</v>
      </c>
      <c r="M13" s="169">
        <v>0.28799999999999998</v>
      </c>
      <c r="N13" s="97">
        <v>24</v>
      </c>
      <c r="O13" s="126">
        <v>6.9119999999999999</v>
      </c>
      <c r="P13" s="231">
        <v>76.031999999999996</v>
      </c>
      <c r="Q13" s="266"/>
      <c r="R13" s="687">
        <f t="shared" si="1"/>
        <v>1139.904</v>
      </c>
      <c r="S13" s="1168">
        <v>3958</v>
      </c>
      <c r="T13" s="688">
        <f t="shared" si="0"/>
        <v>395.8</v>
      </c>
      <c r="U13" s="4"/>
      <c r="W13" s="649"/>
      <c r="X13" s="1162"/>
    </row>
    <row r="14" spans="1:24" ht="20.100000000000001" customHeight="1" thickBot="1" x14ac:dyDescent="0.3">
      <c r="A14" s="693"/>
      <c r="B14" s="203">
        <v>1200</v>
      </c>
      <c r="C14" s="204">
        <v>600</v>
      </c>
      <c r="D14" s="209">
        <v>110</v>
      </c>
      <c r="E14" s="263">
        <v>125</v>
      </c>
      <c r="F14" s="263">
        <v>18.789081289081288</v>
      </c>
      <c r="G14" s="690">
        <v>404587</v>
      </c>
      <c r="H14" s="686" t="s">
        <v>339</v>
      </c>
      <c r="I14" s="177">
        <f>IF(H14="C",ROUNDUP(5500/90/ПолыDDP!O14,0)*ПолыDDP!O14," ")</f>
        <v>66.528000000000006</v>
      </c>
      <c r="J14" s="177">
        <v>379.20960000000002</v>
      </c>
      <c r="K14" s="97">
        <v>3</v>
      </c>
      <c r="L14" s="166">
        <v>2.16</v>
      </c>
      <c r="M14" s="169">
        <v>0.23760000000000003</v>
      </c>
      <c r="N14" s="97">
        <v>28</v>
      </c>
      <c r="O14" s="126">
        <v>6.6528000000000009</v>
      </c>
      <c r="P14" s="231">
        <v>73.180800000000005</v>
      </c>
      <c r="Q14" s="266"/>
      <c r="R14" s="687">
        <f t="shared" si="1"/>
        <v>940.4208000000001</v>
      </c>
      <c r="S14" s="1168">
        <v>3958</v>
      </c>
      <c r="T14" s="688">
        <f t="shared" si="0"/>
        <v>435.38</v>
      </c>
      <c r="U14" s="4"/>
      <c r="W14" s="649"/>
      <c r="X14" s="1162"/>
    </row>
    <row r="15" spans="1:24" ht="20.100000000000001" customHeight="1" thickBot="1" x14ac:dyDescent="0.3">
      <c r="A15" s="693"/>
      <c r="B15" s="203">
        <v>1200</v>
      </c>
      <c r="C15" s="204">
        <v>600</v>
      </c>
      <c r="D15" s="209">
        <v>120</v>
      </c>
      <c r="E15" s="263">
        <v>125</v>
      </c>
      <c r="F15" s="263">
        <v>20.093878600823043</v>
      </c>
      <c r="G15" s="690">
        <v>404589</v>
      </c>
      <c r="H15" s="686" t="s">
        <v>339</v>
      </c>
      <c r="I15" s="177">
        <f>IF(H15="C",ROUNDUP(5500/90/ПолыDDP!O15,0)*ПолыDDP!O15," ")</f>
        <v>62.208000000000006</v>
      </c>
      <c r="J15" s="177">
        <v>391.9104000000001</v>
      </c>
      <c r="K15" s="97">
        <v>3</v>
      </c>
      <c r="L15" s="166">
        <v>2.16</v>
      </c>
      <c r="M15" s="169">
        <v>0.25920000000000004</v>
      </c>
      <c r="N15" s="97">
        <v>24</v>
      </c>
      <c r="O15" s="126">
        <v>6.2208000000000006</v>
      </c>
      <c r="P15" s="231">
        <v>68.42880000000001</v>
      </c>
      <c r="Q15" s="266"/>
      <c r="R15" s="687">
        <f t="shared" si="1"/>
        <v>1025.9136000000001</v>
      </c>
      <c r="S15" s="1168">
        <v>3958</v>
      </c>
      <c r="T15" s="688">
        <f t="shared" si="0"/>
        <v>474.96</v>
      </c>
      <c r="U15" s="4"/>
      <c r="W15" s="649"/>
      <c r="X15" s="1162"/>
    </row>
    <row r="16" spans="1:24" ht="20.100000000000001" customHeight="1" thickBot="1" x14ac:dyDescent="0.3">
      <c r="A16" s="693"/>
      <c r="B16" s="203">
        <v>1200</v>
      </c>
      <c r="C16" s="204">
        <v>600</v>
      </c>
      <c r="D16" s="209">
        <v>130</v>
      </c>
      <c r="E16" s="263">
        <v>125</v>
      </c>
      <c r="F16" s="263">
        <v>18.548195631528966</v>
      </c>
      <c r="G16" s="690">
        <v>404592</v>
      </c>
      <c r="H16" s="686" t="s">
        <v>339</v>
      </c>
      <c r="I16" s="177">
        <f>IF(H16="C",ROUNDUP(5500/90/ПолыDDP!O16,0)*ПолыDDP!O16," ")</f>
        <v>67.391999999999996</v>
      </c>
      <c r="J16" s="177">
        <v>384.13439999999991</v>
      </c>
      <c r="K16" s="97">
        <v>2</v>
      </c>
      <c r="L16" s="166">
        <v>1.44</v>
      </c>
      <c r="M16" s="169">
        <v>0.18719999999999998</v>
      </c>
      <c r="N16" s="97">
        <v>36</v>
      </c>
      <c r="O16" s="126">
        <v>6.7391999999999994</v>
      </c>
      <c r="P16" s="231">
        <v>74.131199999999993</v>
      </c>
      <c r="Q16" s="266"/>
      <c r="R16" s="687">
        <f t="shared" si="1"/>
        <v>740.93759999999986</v>
      </c>
      <c r="S16" s="1168">
        <v>3958</v>
      </c>
      <c r="T16" s="688">
        <f t="shared" si="0"/>
        <v>514.54</v>
      </c>
      <c r="U16" s="4"/>
      <c r="W16" s="649"/>
      <c r="X16" s="1162"/>
    </row>
    <row r="17" spans="1:24" ht="20.100000000000001" customHeight="1" thickBot="1" x14ac:dyDescent="0.3">
      <c r="A17" s="693"/>
      <c r="B17" s="203">
        <v>1200</v>
      </c>
      <c r="C17" s="204">
        <v>600</v>
      </c>
      <c r="D17" s="209">
        <v>140</v>
      </c>
      <c r="E17" s="263">
        <v>125</v>
      </c>
      <c r="F17" s="263">
        <v>19.376240079365079</v>
      </c>
      <c r="G17" s="690">
        <v>404593</v>
      </c>
      <c r="H17" s="686" t="s">
        <v>339</v>
      </c>
      <c r="I17" s="177">
        <f>IF(H17="C",ROUNDUP(5500/90/ПолыDDP!O17,0)*ПолыDDP!O17," ")</f>
        <v>64.512</v>
      </c>
      <c r="J17" s="177">
        <v>387.072</v>
      </c>
      <c r="K17" s="97">
        <v>2</v>
      </c>
      <c r="L17" s="166">
        <v>1.44</v>
      </c>
      <c r="M17" s="169">
        <v>0.2016</v>
      </c>
      <c r="N17" s="97">
        <v>32</v>
      </c>
      <c r="O17" s="126">
        <v>6.4512</v>
      </c>
      <c r="P17" s="231">
        <v>70.963200000000001</v>
      </c>
      <c r="Q17" s="266"/>
      <c r="R17" s="687">
        <f t="shared" si="1"/>
        <v>797.93280000000004</v>
      </c>
      <c r="S17" s="1168">
        <v>3958</v>
      </c>
      <c r="T17" s="688">
        <f t="shared" si="0"/>
        <v>554.12</v>
      </c>
      <c r="U17" s="4"/>
      <c r="W17" s="649"/>
      <c r="X17" s="1162"/>
    </row>
    <row r="18" spans="1:24" ht="20.100000000000001" customHeight="1" thickBot="1" x14ac:dyDescent="0.3">
      <c r="A18" s="693"/>
      <c r="B18" s="203">
        <v>1200</v>
      </c>
      <c r="C18" s="204">
        <v>600</v>
      </c>
      <c r="D18" s="209">
        <v>150</v>
      </c>
      <c r="E18" s="263">
        <v>125</v>
      </c>
      <c r="F18" s="263">
        <v>18.08449074074074</v>
      </c>
      <c r="G18" s="690">
        <v>404594</v>
      </c>
      <c r="H18" s="686" t="s">
        <v>339</v>
      </c>
      <c r="I18" s="177">
        <f>IF(H18="C",ROUNDUP(5500/90/ПолыDDP!O18,0)*ПолыDDP!O18," ")</f>
        <v>62.207999999999998</v>
      </c>
      <c r="J18" s="177">
        <v>393.98400000000004</v>
      </c>
      <c r="K18" s="97">
        <v>2</v>
      </c>
      <c r="L18" s="166">
        <v>1.44</v>
      </c>
      <c r="M18" s="169">
        <v>0.216</v>
      </c>
      <c r="N18" s="97">
        <v>32</v>
      </c>
      <c r="O18" s="126">
        <v>6.9119999999999999</v>
      </c>
      <c r="P18" s="231">
        <v>76.031999999999996</v>
      </c>
      <c r="Q18" s="266"/>
      <c r="R18" s="687">
        <f t="shared" si="1"/>
        <v>854.928</v>
      </c>
      <c r="S18" s="1168">
        <v>3958</v>
      </c>
      <c r="T18" s="688">
        <f t="shared" si="0"/>
        <v>593.70000000000005</v>
      </c>
      <c r="U18" s="4"/>
      <c r="W18" s="649"/>
      <c r="X18" s="1162"/>
    </row>
    <row r="19" spans="1:24" ht="20.100000000000001" customHeight="1" thickBot="1" x14ac:dyDescent="0.3">
      <c r="A19" s="693"/>
      <c r="B19" s="203">
        <v>1200</v>
      </c>
      <c r="C19" s="204">
        <v>600</v>
      </c>
      <c r="D19" s="209">
        <v>160</v>
      </c>
      <c r="E19" s="263">
        <v>125</v>
      </c>
      <c r="F19" s="263">
        <v>19.376240079365083</v>
      </c>
      <c r="G19" s="690">
        <v>404595</v>
      </c>
      <c r="H19" s="686" t="s">
        <v>339</v>
      </c>
      <c r="I19" s="177">
        <f>IF(H19="C",ROUNDUP(5500/90/ПолыDDP!O19,0)*ПолыDDP!O19," ")</f>
        <v>64.511999999999986</v>
      </c>
      <c r="J19" s="177">
        <v>387.07199999999989</v>
      </c>
      <c r="K19" s="97">
        <v>2</v>
      </c>
      <c r="L19" s="166">
        <v>1.44</v>
      </c>
      <c r="M19" s="169">
        <v>0.23039999999999997</v>
      </c>
      <c r="N19" s="97">
        <v>28</v>
      </c>
      <c r="O19" s="126">
        <v>6.4511999999999992</v>
      </c>
      <c r="P19" s="231">
        <v>70.963199999999986</v>
      </c>
      <c r="Q19" s="266"/>
      <c r="R19" s="687">
        <f t="shared" si="1"/>
        <v>911.92319999999984</v>
      </c>
      <c r="S19" s="1168">
        <v>3958</v>
      </c>
      <c r="T19" s="688">
        <f t="shared" si="0"/>
        <v>633.28</v>
      </c>
      <c r="U19" s="4"/>
      <c r="W19" s="649"/>
      <c r="X19" s="1162"/>
    </row>
    <row r="20" spans="1:24" ht="20.100000000000001" customHeight="1" thickBot="1" x14ac:dyDescent="0.3">
      <c r="A20" s="693"/>
      <c r="B20" s="203">
        <v>1200</v>
      </c>
      <c r="C20" s="204">
        <v>600</v>
      </c>
      <c r="D20" s="209">
        <v>170</v>
      </c>
      <c r="E20" s="263">
        <v>125</v>
      </c>
      <c r="F20" s="263">
        <v>18.236461251167132</v>
      </c>
      <c r="G20" s="690">
        <v>404596</v>
      </c>
      <c r="H20" s="686" t="s">
        <v>339</v>
      </c>
      <c r="I20" s="177">
        <f>IF(H20="C",ROUNDUP(5500/90/ПолыDDP!O20,0)*ПолыDDP!O20," ")</f>
        <v>61.689599999999999</v>
      </c>
      <c r="J20" s="177">
        <v>390.70079999999996</v>
      </c>
      <c r="K20" s="97">
        <v>2</v>
      </c>
      <c r="L20" s="166">
        <v>1.44</v>
      </c>
      <c r="M20" s="169">
        <v>0.24479999999999999</v>
      </c>
      <c r="N20" s="97">
        <v>28</v>
      </c>
      <c r="O20" s="126">
        <v>6.8544</v>
      </c>
      <c r="P20" s="231">
        <v>75.398399999999995</v>
      </c>
      <c r="Q20" s="266"/>
      <c r="R20" s="687">
        <f t="shared" si="1"/>
        <v>968.91839999999991</v>
      </c>
      <c r="S20" s="1168">
        <v>3958</v>
      </c>
      <c r="T20" s="688">
        <f t="shared" si="0"/>
        <v>672.86</v>
      </c>
      <c r="U20" s="4"/>
      <c r="W20" s="649"/>
      <c r="X20" s="1162"/>
    </row>
    <row r="21" spans="1:24" ht="33.75" customHeight="1" thickBot="1" x14ac:dyDescent="0.3">
      <c r="A21" s="693"/>
      <c r="B21" s="203">
        <v>1200</v>
      </c>
      <c r="C21" s="204">
        <v>600</v>
      </c>
      <c r="D21" s="209">
        <v>180</v>
      </c>
      <c r="E21" s="263">
        <v>125</v>
      </c>
      <c r="F21" s="263">
        <v>20.093878600823047</v>
      </c>
      <c r="G21" s="690">
        <v>403509</v>
      </c>
      <c r="H21" s="686" t="s">
        <v>339</v>
      </c>
      <c r="I21" s="177">
        <f>IF(H21="C",ROUNDUP(5500/90/ПолыDDP!O21,0)*ПолыDDP!O21," ")</f>
        <v>62.207999999999998</v>
      </c>
      <c r="J21" s="177">
        <v>391.91039999999998</v>
      </c>
      <c r="K21" s="97">
        <v>2</v>
      </c>
      <c r="L21" s="166">
        <v>1.44</v>
      </c>
      <c r="M21" s="169">
        <v>0.25919999999999999</v>
      </c>
      <c r="N21" s="97">
        <v>24</v>
      </c>
      <c r="O21" s="126">
        <v>6.2207999999999997</v>
      </c>
      <c r="P21" s="231">
        <v>68.428799999999995</v>
      </c>
      <c r="Q21" s="266"/>
      <c r="R21" s="687">
        <f t="shared" si="1"/>
        <v>1025.9135999999999</v>
      </c>
      <c r="S21" s="1168">
        <v>3958</v>
      </c>
      <c r="T21" s="688">
        <v>185.66749999999993</v>
      </c>
      <c r="U21" s="4"/>
      <c r="W21" s="649"/>
      <c r="X21" s="1162"/>
    </row>
    <row r="22" spans="1:24" ht="20.100000000000001" customHeight="1" thickBot="1" x14ac:dyDescent="0.3">
      <c r="A22" s="694"/>
      <c r="B22" s="203">
        <v>1200</v>
      </c>
      <c r="C22" s="204">
        <v>600</v>
      </c>
      <c r="D22" s="209">
        <v>190</v>
      </c>
      <c r="E22" s="263">
        <v>125</v>
      </c>
      <c r="F22" s="263">
        <v>19.036306042884995</v>
      </c>
      <c r="G22" s="690">
        <v>404599</v>
      </c>
      <c r="H22" s="686" t="s">
        <v>339</v>
      </c>
      <c r="I22" s="177">
        <f>IF(H22="C",ROUNDUP(5500/90/ПолыDDP!O22,0)*ПолыDDP!O22," ")</f>
        <v>65.663999999999987</v>
      </c>
      <c r="J22" s="177">
        <v>413.68319999999994</v>
      </c>
      <c r="K22" s="97">
        <v>2</v>
      </c>
      <c r="L22" s="166">
        <v>1.44</v>
      </c>
      <c r="M22" s="169">
        <v>0.27359999999999995</v>
      </c>
      <c r="N22" s="97">
        <v>24</v>
      </c>
      <c r="O22" s="126">
        <v>6.5663999999999989</v>
      </c>
      <c r="P22" s="231">
        <v>72.230399999999989</v>
      </c>
      <c r="Q22" s="266"/>
      <c r="R22" s="687">
        <f t="shared" si="1"/>
        <v>1082.9087999999999</v>
      </c>
      <c r="S22" s="1168">
        <v>3958</v>
      </c>
      <c r="T22" s="688">
        <f t="shared" ref="T22:T31" si="2">S22*D22/1000</f>
        <v>752.02</v>
      </c>
      <c r="U22" s="4"/>
      <c r="W22" s="649"/>
      <c r="X22" s="1162"/>
    </row>
    <row r="23" spans="1:24" ht="20.100000000000001" customHeight="1" thickBot="1" x14ac:dyDescent="0.3">
      <c r="A23" s="694"/>
      <c r="B23" s="240">
        <v>1200</v>
      </c>
      <c r="C23" s="241">
        <v>600</v>
      </c>
      <c r="D23" s="242">
        <v>200</v>
      </c>
      <c r="E23" s="263">
        <v>125</v>
      </c>
      <c r="F23" s="289">
        <v>18.084490740740744</v>
      </c>
      <c r="G23" s="695">
        <v>404600</v>
      </c>
      <c r="H23" s="686" t="s">
        <v>339</v>
      </c>
      <c r="I23" s="445">
        <f>IF(H23="C",ROUNDUP(5500/90/ПолыDDP!O23,0)*ПолыDDP!O23," ")</f>
        <v>62.207999999999991</v>
      </c>
      <c r="J23" s="445">
        <v>435.45599999999996</v>
      </c>
      <c r="K23" s="306">
        <v>2</v>
      </c>
      <c r="L23" s="167">
        <v>1.44</v>
      </c>
      <c r="M23" s="307">
        <v>0.28799999999999998</v>
      </c>
      <c r="N23" s="306">
        <v>24</v>
      </c>
      <c r="O23" s="129">
        <v>6.911999999999999</v>
      </c>
      <c r="P23" s="260">
        <v>76.031999999999982</v>
      </c>
      <c r="Q23" s="308"/>
      <c r="R23" s="696">
        <f t="shared" si="1"/>
        <v>1139.904</v>
      </c>
      <c r="S23" s="1169">
        <v>3958</v>
      </c>
      <c r="T23" s="697">
        <f t="shared" si="2"/>
        <v>791.6</v>
      </c>
      <c r="U23" s="4"/>
      <c r="W23" s="649"/>
      <c r="X23" s="1162"/>
    </row>
    <row r="24" spans="1:24" ht="20.100000000000001" customHeight="1" thickBot="1" x14ac:dyDescent="0.3">
      <c r="A24" s="35" t="s">
        <v>469</v>
      </c>
      <c r="B24" s="9">
        <v>1200</v>
      </c>
      <c r="C24" s="10">
        <v>600</v>
      </c>
      <c r="D24" s="11">
        <v>30</v>
      </c>
      <c r="E24" s="106"/>
      <c r="F24" s="106"/>
      <c r="G24" s="11">
        <v>455638</v>
      </c>
      <c r="H24" s="686" t="s">
        <v>339</v>
      </c>
      <c r="I24" s="178">
        <f>IF(H24="C",ROUNDUP(5500/110/ПолыDDP!O24,0)*ПолыDDP!O24," ")</f>
        <v>52.531199999999991</v>
      </c>
      <c r="J24" s="196"/>
      <c r="K24" s="45">
        <v>7</v>
      </c>
      <c r="L24" s="181">
        <f>B24*C24*K24/1000000</f>
        <v>5.04</v>
      </c>
      <c r="M24" s="198">
        <f>D24*L24/1000</f>
        <v>0.1512</v>
      </c>
      <c r="N24" s="45">
        <v>44</v>
      </c>
      <c r="O24" s="179">
        <f>M24*N24</f>
        <v>6.6528</v>
      </c>
      <c r="P24" s="179">
        <f>O24*11</f>
        <v>73.180800000000005</v>
      </c>
      <c r="Q24" s="46"/>
      <c r="R24" s="687" t="e">
        <f t="shared" si="1"/>
        <v>#VALUE!</v>
      </c>
      <c r="S24" s="1170" t="s">
        <v>528</v>
      </c>
      <c r="T24" s="688" t="e">
        <f t="shared" si="2"/>
        <v>#VALUE!</v>
      </c>
      <c r="U24" s="4"/>
      <c r="W24" s="649"/>
      <c r="X24" s="1162"/>
    </row>
    <row r="25" spans="1:24" ht="20.100000000000001" customHeight="1" thickBot="1" x14ac:dyDescent="0.3">
      <c r="A25" s="700"/>
      <c r="B25" s="203">
        <v>1200</v>
      </c>
      <c r="C25" s="204">
        <v>600</v>
      </c>
      <c r="D25" s="209">
        <v>40</v>
      </c>
      <c r="E25" s="263"/>
      <c r="F25" s="263"/>
      <c r="G25" s="209">
        <v>395408</v>
      </c>
      <c r="H25" s="686" t="s">
        <v>339</v>
      </c>
      <c r="I25" s="178">
        <f>IF(H25="C",ROUNDUP(5500/110/ПолыDDP!O25,0)*ПолыDDP!O25," ")</f>
        <v>55.295999999999992</v>
      </c>
      <c r="J25" s="177"/>
      <c r="K25" s="97">
        <v>6</v>
      </c>
      <c r="L25" s="166">
        <v>4.32</v>
      </c>
      <c r="M25" s="169">
        <v>0.216</v>
      </c>
      <c r="N25" s="97">
        <v>40</v>
      </c>
      <c r="O25" s="166">
        <v>6.9119999999999999</v>
      </c>
      <c r="P25" s="166">
        <v>76.031999999999996</v>
      </c>
      <c r="Q25" s="266"/>
      <c r="R25" s="687">
        <f t="shared" ref="R25" si="3">M25*S25</f>
        <v>993.16800000000001</v>
      </c>
      <c r="S25" s="1170">
        <v>4598</v>
      </c>
      <c r="T25" s="688">
        <f t="shared" ref="T25" si="4">S25*D25/1000</f>
        <v>183.92</v>
      </c>
      <c r="U25" s="4"/>
      <c r="W25" s="649"/>
      <c r="X25" s="1162"/>
    </row>
    <row r="26" spans="1:24" ht="20.100000000000001" customHeight="1" thickBot="1" x14ac:dyDescent="0.3">
      <c r="A26" s="700"/>
      <c r="B26" s="203">
        <v>1200</v>
      </c>
      <c r="C26" s="204">
        <v>600</v>
      </c>
      <c r="D26" s="209">
        <v>50</v>
      </c>
      <c r="E26" s="263"/>
      <c r="F26" s="263"/>
      <c r="G26" s="209">
        <v>39559</v>
      </c>
      <c r="H26" s="686" t="s">
        <v>239</v>
      </c>
      <c r="I26" s="178" t="str">
        <f>IF(H26="C",ROUNDUP(5500/110/ПолыDDP!O26,0)*ПолыDDP!O26," ")</f>
        <v xml:space="preserve"> </v>
      </c>
      <c r="J26" s="177"/>
      <c r="K26" s="97">
        <v>6</v>
      </c>
      <c r="L26" s="166">
        <v>4.32</v>
      </c>
      <c r="M26" s="169">
        <v>0.216</v>
      </c>
      <c r="N26" s="97">
        <v>32</v>
      </c>
      <c r="O26" s="166">
        <v>6.9119999999999999</v>
      </c>
      <c r="P26" s="166">
        <v>76.031999999999996</v>
      </c>
      <c r="Q26" s="266"/>
      <c r="R26" s="687">
        <f t="shared" si="1"/>
        <v>0</v>
      </c>
      <c r="S26" s="1170">
        <v>0</v>
      </c>
      <c r="T26" s="688">
        <f t="shared" si="2"/>
        <v>0</v>
      </c>
      <c r="U26" s="4"/>
      <c r="W26" s="649"/>
      <c r="X26" s="1162"/>
    </row>
    <row r="27" spans="1:24" ht="24.95" customHeight="1" thickBot="1" x14ac:dyDescent="0.3">
      <c r="A27" s="700" t="s">
        <v>470</v>
      </c>
      <c r="B27" s="203">
        <v>1200</v>
      </c>
      <c r="C27" s="204">
        <v>600</v>
      </c>
      <c r="D27" s="209">
        <v>60</v>
      </c>
      <c r="E27" s="263"/>
      <c r="F27" s="263"/>
      <c r="G27" s="209">
        <v>404601</v>
      </c>
      <c r="H27" s="686" t="s">
        <v>239</v>
      </c>
      <c r="I27" s="178" t="str">
        <f>IF(H27="C",ROUNDUP(5500/110/ПолыDDP!O27,0)*ПолыDDP!O27," ")</f>
        <v xml:space="preserve"> </v>
      </c>
      <c r="J27" s="177"/>
      <c r="K27" s="97">
        <v>4</v>
      </c>
      <c r="L27" s="166">
        <v>2.8800000000000003</v>
      </c>
      <c r="M27" s="169">
        <v>0.17280000000000001</v>
      </c>
      <c r="N27" s="97">
        <v>40</v>
      </c>
      <c r="O27" s="166">
        <v>6.9120000000000008</v>
      </c>
      <c r="P27" s="166">
        <v>76.032000000000011</v>
      </c>
      <c r="Q27" s="266"/>
      <c r="R27" s="687">
        <f t="shared" si="1"/>
        <v>835.66079999999999</v>
      </c>
      <c r="S27" s="1170">
        <v>4836</v>
      </c>
      <c r="T27" s="688">
        <f t="shared" si="2"/>
        <v>290.16000000000003</v>
      </c>
      <c r="U27" s="4"/>
      <c r="W27" s="649"/>
      <c r="X27" s="1162"/>
    </row>
    <row r="28" spans="1:24" ht="24.95" customHeight="1" thickBot="1" x14ac:dyDescent="0.3">
      <c r="A28" s="877"/>
      <c r="B28" s="203">
        <v>1200</v>
      </c>
      <c r="C28" s="204">
        <v>600</v>
      </c>
      <c r="D28" s="209">
        <v>70</v>
      </c>
      <c r="E28" s="263"/>
      <c r="F28" s="263"/>
      <c r="G28" s="209">
        <v>404602</v>
      </c>
      <c r="H28" s="686" t="s">
        <v>339</v>
      </c>
      <c r="I28" s="178">
        <f>IF(H28="C",ROUNDUP(5500/110/ПолыDDP!O28,0)*ПолыDDP!O28," ")</f>
        <v>55.295999999999999</v>
      </c>
      <c r="J28" s="177">
        <v>290.30399999999997</v>
      </c>
      <c r="K28" s="97">
        <v>4</v>
      </c>
      <c r="L28" s="166">
        <v>2.8800000000000003</v>
      </c>
      <c r="M28" s="169">
        <v>0.2016</v>
      </c>
      <c r="N28" s="97">
        <v>32</v>
      </c>
      <c r="O28" s="166">
        <v>6.4512</v>
      </c>
      <c r="P28" s="166">
        <v>70.963200000000001</v>
      </c>
      <c r="Q28" s="266"/>
      <c r="R28" s="687">
        <f t="shared" si="1"/>
        <v>974.93759999999997</v>
      </c>
      <c r="S28" s="1170">
        <v>4836</v>
      </c>
      <c r="T28" s="688">
        <f t="shared" si="2"/>
        <v>338.52</v>
      </c>
      <c r="U28" s="4"/>
      <c r="W28" s="649"/>
      <c r="X28" s="1162"/>
    </row>
    <row r="29" spans="1:24" ht="24.95" customHeight="1" thickBot="1" x14ac:dyDescent="0.3">
      <c r="A29" s="877"/>
      <c r="B29" s="203">
        <v>1200</v>
      </c>
      <c r="C29" s="204">
        <v>600</v>
      </c>
      <c r="D29" s="209">
        <v>90</v>
      </c>
      <c r="E29" s="263">
        <v>100</v>
      </c>
      <c r="F29" s="263">
        <v>16.075102880658438</v>
      </c>
      <c r="G29" s="209">
        <v>404603</v>
      </c>
      <c r="H29" s="686" t="s">
        <v>239</v>
      </c>
      <c r="I29" s="178" t="str">
        <f>IF(H29="C",ROUNDUP(5500/110/ПолыDDP!O29,0)*ПолыDDP!O29," ")</f>
        <v xml:space="preserve"> </v>
      </c>
      <c r="J29" s="177">
        <v>317.26079999999996</v>
      </c>
      <c r="K29" s="97">
        <v>3</v>
      </c>
      <c r="L29" s="166">
        <v>2.16</v>
      </c>
      <c r="M29" s="169">
        <v>0.19439999999999999</v>
      </c>
      <c r="N29" s="97">
        <v>32</v>
      </c>
      <c r="O29" s="166">
        <v>6.2207999999999997</v>
      </c>
      <c r="P29" s="166">
        <v>68.428799999999995</v>
      </c>
      <c r="Q29" s="266"/>
      <c r="R29" s="687">
        <f t="shared" si="1"/>
        <v>940.11839999999995</v>
      </c>
      <c r="S29" s="1170">
        <v>4836</v>
      </c>
      <c r="T29" s="688">
        <f t="shared" si="2"/>
        <v>435.24</v>
      </c>
      <c r="U29" s="4"/>
      <c r="W29" s="649"/>
      <c r="X29" s="1162"/>
    </row>
    <row r="30" spans="1:24" ht="20.100000000000001" customHeight="1" thickBot="1" x14ac:dyDescent="0.3">
      <c r="A30" s="701"/>
      <c r="B30" s="203">
        <v>1200</v>
      </c>
      <c r="C30" s="204">
        <v>600</v>
      </c>
      <c r="D30" s="209">
        <v>80</v>
      </c>
      <c r="E30" s="263">
        <v>100</v>
      </c>
      <c r="F30" s="263">
        <v>14.467592592592592</v>
      </c>
      <c r="G30" s="209">
        <v>332336</v>
      </c>
      <c r="H30" s="686" t="s">
        <v>339</v>
      </c>
      <c r="I30" s="178">
        <f>IF(H30="C",ROUNDUP(5500/110/ПолыDDP!O30,0)*ПолыDDP!O30," ")</f>
        <v>51.6096</v>
      </c>
      <c r="J30" s="177"/>
      <c r="K30" s="97">
        <v>3</v>
      </c>
      <c r="L30" s="166">
        <v>2.16</v>
      </c>
      <c r="M30" s="169">
        <v>0.17280000000000001</v>
      </c>
      <c r="N30" s="97">
        <v>40</v>
      </c>
      <c r="O30" s="166">
        <v>6.9120000000000008</v>
      </c>
      <c r="P30" s="166">
        <v>76.032000000000011</v>
      </c>
      <c r="Q30" s="266"/>
      <c r="R30" s="687">
        <f t="shared" si="1"/>
        <v>835.66079999999999</v>
      </c>
      <c r="S30" s="1170">
        <v>4836</v>
      </c>
      <c r="T30" s="688">
        <f t="shared" si="2"/>
        <v>386.88</v>
      </c>
      <c r="U30" s="4"/>
      <c r="W30" s="649"/>
      <c r="X30" s="1162"/>
    </row>
    <row r="31" spans="1:24" ht="20.100000000000001" customHeight="1" thickBot="1" x14ac:dyDescent="0.3">
      <c r="A31" s="701"/>
      <c r="B31" s="203">
        <v>1200</v>
      </c>
      <c r="C31" s="204">
        <v>600</v>
      </c>
      <c r="D31" s="209">
        <v>100</v>
      </c>
      <c r="E31" s="263"/>
      <c r="F31" s="263">
        <v>0</v>
      </c>
      <c r="G31" s="209">
        <v>366758</v>
      </c>
      <c r="H31" s="686" t="s">
        <v>239</v>
      </c>
      <c r="I31" s="178" t="str">
        <f>IF(H31="C",ROUNDUP(5500/110/ПолыDDP!O31,0)*ПолыDDP!O31," ")</f>
        <v xml:space="preserve"> </v>
      </c>
      <c r="J31" s="177"/>
      <c r="K31" s="97">
        <v>3</v>
      </c>
      <c r="L31" s="166">
        <v>2.16</v>
      </c>
      <c r="M31" s="169">
        <v>0.216</v>
      </c>
      <c r="N31" s="97">
        <v>32</v>
      </c>
      <c r="O31" s="166">
        <v>6.9119999999999999</v>
      </c>
      <c r="P31" s="166">
        <v>76.031999999999996</v>
      </c>
      <c r="Q31" s="266"/>
      <c r="R31" s="687">
        <f t="shared" si="1"/>
        <v>1044.576</v>
      </c>
      <c r="S31" s="1170">
        <v>4836</v>
      </c>
      <c r="T31" s="688">
        <f t="shared" si="2"/>
        <v>483.6</v>
      </c>
      <c r="U31" s="4"/>
      <c r="W31" s="649"/>
      <c r="X31" s="1162"/>
    </row>
    <row r="32" spans="1:24" ht="20.100000000000001" customHeight="1" thickBot="1" x14ac:dyDescent="0.3">
      <c r="A32" s="701"/>
      <c r="B32" s="203">
        <v>1200</v>
      </c>
      <c r="C32" s="204">
        <v>600</v>
      </c>
      <c r="D32" s="209">
        <v>110</v>
      </c>
      <c r="E32" s="263">
        <v>100</v>
      </c>
      <c r="F32" s="263">
        <v>15.031265031265031</v>
      </c>
      <c r="G32" s="209">
        <v>396992</v>
      </c>
      <c r="H32" s="686" t="s">
        <v>239</v>
      </c>
      <c r="I32" s="178" t="str">
        <f>IF(H32="C",ROUNDUP(5500/110/ПолыDDP!O32,0)*ПолыDDP!O32," ")</f>
        <v xml:space="preserve"> </v>
      </c>
      <c r="J32" s="177">
        <v>319.33440000000002</v>
      </c>
      <c r="K32" s="97">
        <v>3</v>
      </c>
      <c r="L32" s="166">
        <v>2.16</v>
      </c>
      <c r="M32" s="169">
        <v>0.23760000000000001</v>
      </c>
      <c r="N32" s="97">
        <v>28</v>
      </c>
      <c r="O32" s="166">
        <v>6.6528</v>
      </c>
      <c r="P32" s="166">
        <v>73.180800000000005</v>
      </c>
      <c r="Q32" s="266"/>
      <c r="R32" s="687">
        <v>1034.5104000000001</v>
      </c>
      <c r="S32" s="1170">
        <v>4836</v>
      </c>
      <c r="T32" s="688">
        <v>478.94</v>
      </c>
      <c r="U32" s="4"/>
      <c r="W32" s="649"/>
      <c r="X32" s="1162"/>
    </row>
    <row r="33" spans="1:24" ht="24.95" customHeight="1" thickBot="1" x14ac:dyDescent="0.3">
      <c r="A33" s="701"/>
      <c r="B33" s="203">
        <v>1200</v>
      </c>
      <c r="C33" s="204">
        <v>600</v>
      </c>
      <c r="D33" s="209">
        <v>120</v>
      </c>
      <c r="E33" s="263">
        <v>100</v>
      </c>
      <c r="F33" s="263">
        <v>14.467592592592592</v>
      </c>
      <c r="G33" s="209">
        <v>404607</v>
      </c>
      <c r="H33" s="686" t="s">
        <v>239</v>
      </c>
      <c r="I33" s="178" t="str">
        <f>IF(H33="C",ROUNDUP(5500/110/ПолыDDP!O33,0)*ПолыDDP!O33," ")</f>
        <v xml:space="preserve"> </v>
      </c>
      <c r="J33" s="177">
        <v>331.77600000000007</v>
      </c>
      <c r="K33" s="97">
        <v>2</v>
      </c>
      <c r="L33" s="166">
        <v>1.4400000000000002</v>
      </c>
      <c r="M33" s="169">
        <v>0.17280000000000001</v>
      </c>
      <c r="N33" s="97">
        <v>40</v>
      </c>
      <c r="O33" s="166">
        <v>6.9120000000000008</v>
      </c>
      <c r="P33" s="166">
        <v>76.032000000000011</v>
      </c>
      <c r="Q33" s="266"/>
      <c r="R33" s="687">
        <f>M33*S33</f>
        <v>835.66079999999999</v>
      </c>
      <c r="S33" s="1170">
        <v>4836</v>
      </c>
      <c r="T33" s="688">
        <f>S33*D33/1000</f>
        <v>580.32000000000005</v>
      </c>
      <c r="U33" s="4"/>
      <c r="W33" s="649"/>
      <c r="X33" s="1162"/>
    </row>
    <row r="34" spans="1:24" ht="24.95" customHeight="1" thickBot="1" x14ac:dyDescent="0.3">
      <c r="A34" s="701"/>
      <c r="B34" s="203">
        <v>1200</v>
      </c>
      <c r="C34" s="204">
        <v>600</v>
      </c>
      <c r="D34" s="209">
        <v>130</v>
      </c>
      <c r="E34" s="263">
        <v>100</v>
      </c>
      <c r="F34" s="263">
        <v>14.83855650522317</v>
      </c>
      <c r="G34" s="209">
        <v>404613</v>
      </c>
      <c r="H34" s="686" t="s">
        <v>339</v>
      </c>
      <c r="I34" s="178">
        <f>IF(H34="C",ROUNDUP(5500/110/ПолыDDP!O34,0)*ПолыDDP!O34," ")</f>
        <v>53.222400000000007</v>
      </c>
      <c r="J34" s="177">
        <v>323.48160000000001</v>
      </c>
      <c r="K34" s="97">
        <v>2</v>
      </c>
      <c r="L34" s="166">
        <v>1.4400000000000002</v>
      </c>
      <c r="M34" s="169">
        <v>0.18720000000000001</v>
      </c>
      <c r="N34" s="97">
        <v>36</v>
      </c>
      <c r="O34" s="166">
        <v>6.7392000000000003</v>
      </c>
      <c r="P34" s="166">
        <v>74.131200000000007</v>
      </c>
      <c r="Q34" s="266"/>
      <c r="R34" s="687">
        <f>M34*S34</f>
        <v>905.29920000000004</v>
      </c>
      <c r="S34" s="1170">
        <v>4836</v>
      </c>
      <c r="T34" s="688">
        <f>S34*D34/1000</f>
        <v>628.67999999999995</v>
      </c>
      <c r="U34" s="4"/>
      <c r="W34" s="649"/>
      <c r="X34" s="1162"/>
    </row>
    <row r="35" spans="1:24" ht="24.95" customHeight="1" thickBot="1" x14ac:dyDescent="0.3">
      <c r="A35" s="701"/>
      <c r="B35" s="203">
        <v>1200</v>
      </c>
      <c r="C35" s="204">
        <v>600</v>
      </c>
      <c r="D35" s="209">
        <v>140</v>
      </c>
      <c r="E35" s="263">
        <v>100</v>
      </c>
      <c r="F35" s="263">
        <v>15.500992063492063</v>
      </c>
      <c r="G35" s="209">
        <v>404614</v>
      </c>
      <c r="H35" s="686" t="s">
        <v>339</v>
      </c>
      <c r="I35" s="178">
        <f>IF(H35="C",ROUNDUP(5500/110/ПолыDDP!O35,0)*ПолыDDP!O35," ")</f>
        <v>55.295999999999992</v>
      </c>
      <c r="J35" s="177">
        <v>309.6576</v>
      </c>
      <c r="K35" s="97">
        <v>2</v>
      </c>
      <c r="L35" s="166">
        <v>1.4400000000000002</v>
      </c>
      <c r="M35" s="169">
        <v>0.2016</v>
      </c>
      <c r="N35" s="97">
        <v>32</v>
      </c>
      <c r="O35" s="166">
        <v>6.4512</v>
      </c>
      <c r="P35" s="166">
        <v>70.963200000000001</v>
      </c>
      <c r="Q35" s="266"/>
      <c r="R35" s="687">
        <f>M35*S35</f>
        <v>974.93759999999997</v>
      </c>
      <c r="S35" s="1170">
        <v>4836</v>
      </c>
      <c r="T35" s="688">
        <f>S35*D35/1000</f>
        <v>677.04</v>
      </c>
      <c r="U35" s="4"/>
      <c r="W35" s="649"/>
      <c r="X35" s="1162"/>
    </row>
    <row r="36" spans="1:24" ht="20.100000000000001" customHeight="1" thickBot="1" x14ac:dyDescent="0.3">
      <c r="A36" s="701"/>
      <c r="B36" s="203">
        <v>1200</v>
      </c>
      <c r="C36" s="204">
        <v>600</v>
      </c>
      <c r="D36" s="209">
        <v>150</v>
      </c>
      <c r="E36" s="263">
        <v>100</v>
      </c>
      <c r="F36" s="263">
        <v>14.467592592592593</v>
      </c>
      <c r="G36" s="209">
        <v>398624</v>
      </c>
      <c r="H36" s="686" t="s">
        <v>339</v>
      </c>
      <c r="I36" s="178">
        <f>IF(H36="C",ROUNDUP(5500/110/ПолыDDP!O36,0)*ПолыDDP!O36," ")</f>
        <v>53.913599999999995</v>
      </c>
      <c r="J36" s="177">
        <v>331.77600000000001</v>
      </c>
      <c r="K36" s="97">
        <v>2</v>
      </c>
      <c r="L36" s="166">
        <v>1.4400000000000002</v>
      </c>
      <c r="M36" s="169">
        <v>0.216</v>
      </c>
      <c r="N36" s="97">
        <v>32</v>
      </c>
      <c r="O36" s="166">
        <v>6.9119999999999999</v>
      </c>
      <c r="P36" s="166">
        <v>76.031999999999996</v>
      </c>
      <c r="Q36" s="266"/>
      <c r="R36" s="687">
        <v>940.46399999999994</v>
      </c>
      <c r="S36" s="1170">
        <v>4836</v>
      </c>
      <c r="T36" s="688">
        <v>653.1</v>
      </c>
      <c r="U36" s="4"/>
      <c r="W36" s="649"/>
      <c r="X36" s="1162"/>
    </row>
    <row r="37" spans="1:24" ht="24.95" customHeight="1" thickBot="1" x14ac:dyDescent="0.3">
      <c r="A37" s="701"/>
      <c r="B37" s="203">
        <v>1200</v>
      </c>
      <c r="C37" s="204">
        <v>600</v>
      </c>
      <c r="D37" s="209">
        <v>160</v>
      </c>
      <c r="E37" s="263">
        <v>100</v>
      </c>
      <c r="F37" s="263">
        <v>15.500992063492063</v>
      </c>
      <c r="G37" s="209">
        <v>404616</v>
      </c>
      <c r="H37" s="686" t="s">
        <v>339</v>
      </c>
      <c r="I37" s="178">
        <f>IF(H37="C",ROUNDUP(5500/110/ПолыDDP!O37,0)*ПолыDDP!O37," ")</f>
        <v>51.6096</v>
      </c>
      <c r="J37" s="177">
        <v>309.6576</v>
      </c>
      <c r="K37" s="97">
        <v>2</v>
      </c>
      <c r="L37" s="166">
        <v>1.44</v>
      </c>
      <c r="M37" s="169">
        <v>0.23039999999999999</v>
      </c>
      <c r="N37" s="97">
        <v>28</v>
      </c>
      <c r="O37" s="166">
        <v>6.4512</v>
      </c>
      <c r="P37" s="166">
        <v>70.963200000000001</v>
      </c>
      <c r="Q37" s="266"/>
      <c r="R37" s="687">
        <f>M37*S37</f>
        <v>1114.2144000000001</v>
      </c>
      <c r="S37" s="1170">
        <v>4836</v>
      </c>
      <c r="T37" s="688">
        <f>S37*D37/1000</f>
        <v>773.76</v>
      </c>
      <c r="U37" s="4"/>
      <c r="W37" s="649"/>
      <c r="X37" s="1162"/>
    </row>
    <row r="38" spans="1:24" ht="20.100000000000001" customHeight="1" thickBot="1" x14ac:dyDescent="0.3">
      <c r="A38" s="701"/>
      <c r="B38" s="203">
        <v>1200</v>
      </c>
      <c r="C38" s="204">
        <v>600</v>
      </c>
      <c r="D38" s="209">
        <v>170</v>
      </c>
      <c r="E38" s="263">
        <v>100</v>
      </c>
      <c r="F38" s="263">
        <v>14.589169000933706</v>
      </c>
      <c r="G38" s="209">
        <v>372626</v>
      </c>
      <c r="H38" s="686" t="s">
        <v>339</v>
      </c>
      <c r="I38" s="178">
        <f>IF(H38="C",ROUNDUP(5500/110/ПолыDDP!O38,0)*ПолыDDP!O38," ")</f>
        <v>55.295999999999999</v>
      </c>
      <c r="J38" s="177">
        <v>329.01120000000003</v>
      </c>
      <c r="K38" s="97">
        <v>2</v>
      </c>
      <c r="L38" s="166">
        <v>1.44</v>
      </c>
      <c r="M38" s="169">
        <v>0.24479999999999999</v>
      </c>
      <c r="N38" s="97">
        <v>28</v>
      </c>
      <c r="O38" s="166">
        <v>6.8544</v>
      </c>
      <c r="P38" s="166">
        <v>75.398399999999995</v>
      </c>
      <c r="Q38" s="266"/>
      <c r="R38" s="687">
        <v>1065.8591999999999</v>
      </c>
      <c r="S38" s="1170">
        <v>4836</v>
      </c>
      <c r="T38" s="688">
        <v>740.18</v>
      </c>
      <c r="U38" s="4"/>
      <c r="W38" s="649"/>
      <c r="X38" s="1162"/>
    </row>
    <row r="39" spans="1:24" ht="20.100000000000001" customHeight="1" thickBot="1" x14ac:dyDescent="0.3">
      <c r="A39" s="701"/>
      <c r="B39" s="240">
        <v>1200</v>
      </c>
      <c r="C39" s="241">
        <v>600</v>
      </c>
      <c r="D39" s="242">
        <v>180</v>
      </c>
      <c r="E39" s="289">
        <v>100</v>
      </c>
      <c r="F39" s="289">
        <v>16.075102880658438</v>
      </c>
      <c r="G39" s="242">
        <v>404619</v>
      </c>
      <c r="H39" s="686" t="s">
        <v>339</v>
      </c>
      <c r="I39" s="445">
        <f>IF(H39="C",ROUNDUP(5500/110/ПолыDDP!O39,0)*ПолыDDP!O39," ")</f>
        <v>51.609599999999993</v>
      </c>
      <c r="J39" s="455">
        <v>298.59839999999997</v>
      </c>
      <c r="K39" s="306">
        <v>2</v>
      </c>
      <c r="L39" s="167">
        <v>1.44</v>
      </c>
      <c r="M39" s="307">
        <v>0.25919999999999999</v>
      </c>
      <c r="N39" s="306">
        <v>24</v>
      </c>
      <c r="O39" s="167">
        <v>6.2207999999999997</v>
      </c>
      <c r="P39" s="167">
        <v>68.428799999999995</v>
      </c>
      <c r="Q39" s="308"/>
      <c r="R39" s="703">
        <f>M39*S39</f>
        <v>1253.4911999999999</v>
      </c>
      <c r="S39" s="1170">
        <v>4836</v>
      </c>
      <c r="T39" s="705">
        <f>S39*D39/1000</f>
        <v>870.48</v>
      </c>
      <c r="U39" s="4"/>
      <c r="W39" s="649"/>
      <c r="X39" s="1162"/>
    </row>
    <row r="40" spans="1:24" ht="20.100000000000001" hidden="1" customHeight="1" thickBot="1" x14ac:dyDescent="0.3">
      <c r="A40" s="701"/>
      <c r="B40" s="249">
        <v>1200</v>
      </c>
      <c r="C40" s="287">
        <v>600</v>
      </c>
      <c r="D40" s="288">
        <v>190</v>
      </c>
      <c r="E40" s="319">
        <v>100</v>
      </c>
      <c r="F40" s="319">
        <v>15.229044834307993</v>
      </c>
      <c r="G40" s="288" t="s">
        <v>261</v>
      </c>
      <c r="H40" s="706" t="s">
        <v>46</v>
      </c>
      <c r="I40" s="178" t="str">
        <f>IF(H40="C",ROUNDUP(5500/110/ПолыDDP!O40,0)*ПолыDDP!O40," ")</f>
        <v xml:space="preserve"> </v>
      </c>
      <c r="J40" s="178">
        <v>315.18719999999996</v>
      </c>
      <c r="K40" s="320">
        <v>2</v>
      </c>
      <c r="L40" s="168">
        <v>1.4400000000000002</v>
      </c>
      <c r="M40" s="265">
        <v>0.27360000000000001</v>
      </c>
      <c r="N40" s="320">
        <v>24</v>
      </c>
      <c r="O40" s="168">
        <v>6.5663999999999998</v>
      </c>
      <c r="P40" s="168">
        <v>72.230400000000003</v>
      </c>
      <c r="Q40" s="612"/>
      <c r="R40" s="687">
        <f>M40*S40</f>
        <v>1191.2544</v>
      </c>
      <c r="S40" s="1170">
        <v>4354</v>
      </c>
      <c r="T40" s="688">
        <f>S40*D40/1000</f>
        <v>827.26</v>
      </c>
      <c r="U40" s="4"/>
      <c r="W40" s="649"/>
      <c r="X40" s="1162"/>
    </row>
    <row r="41" spans="1:24" ht="20.100000000000001" hidden="1" customHeight="1" thickBot="1" x14ac:dyDescent="0.3">
      <c r="A41" s="707"/>
      <c r="B41" s="240">
        <v>1200</v>
      </c>
      <c r="C41" s="241">
        <v>600</v>
      </c>
      <c r="D41" s="242">
        <v>200</v>
      </c>
      <c r="E41" s="289">
        <v>100</v>
      </c>
      <c r="F41" s="289">
        <v>14.467592592592595</v>
      </c>
      <c r="G41" s="242" t="s">
        <v>262</v>
      </c>
      <c r="H41" s="702" t="s">
        <v>46</v>
      </c>
      <c r="I41" s="177" t="str">
        <f>IF(H41="C",ROUNDUP(5500/110/ПолыDDP!O41,0)*ПолыDDP!O41," ")</f>
        <v xml:space="preserve"> </v>
      </c>
      <c r="J41" s="455">
        <v>331.77599999999995</v>
      </c>
      <c r="K41" s="306">
        <v>2</v>
      </c>
      <c r="L41" s="167">
        <v>1.44</v>
      </c>
      <c r="M41" s="307">
        <v>0.28799999999999998</v>
      </c>
      <c r="N41" s="306">
        <v>24</v>
      </c>
      <c r="O41" s="167">
        <v>6.911999999999999</v>
      </c>
      <c r="P41" s="167">
        <v>76.031999999999982</v>
      </c>
      <c r="Q41" s="308"/>
      <c r="R41" s="696">
        <f>M41*S41</f>
        <v>1253.952</v>
      </c>
      <c r="S41" s="1171">
        <v>4354</v>
      </c>
      <c r="T41" s="697">
        <f>S41*D41/1000</f>
        <v>870.8</v>
      </c>
      <c r="U41" s="4"/>
      <c r="W41" s="649"/>
      <c r="X41" s="1162"/>
    </row>
    <row r="42" spans="1:24" ht="20.100000000000001" customHeight="1" thickBot="1" x14ac:dyDescent="0.3">
      <c r="A42" s="35" t="s">
        <v>471</v>
      </c>
      <c r="B42" s="252">
        <v>1200</v>
      </c>
      <c r="C42" s="250">
        <v>600</v>
      </c>
      <c r="D42" s="251">
        <v>40</v>
      </c>
      <c r="E42" s="277"/>
      <c r="F42" s="278"/>
      <c r="G42" s="251">
        <v>387498</v>
      </c>
      <c r="H42" s="686" t="s">
        <v>239</v>
      </c>
      <c r="I42" s="177" t="str">
        <f>IF(H42="C",ROUNDUP(5500/170/ПолыDDP!O42,0)*ПолыDDP!O42," ")</f>
        <v xml:space="preserve"> </v>
      </c>
      <c r="J42" s="280"/>
      <c r="K42" s="281">
        <v>5</v>
      </c>
      <c r="L42" s="282">
        <v>3.6</v>
      </c>
      <c r="M42" s="283">
        <v>0.14399999999999999</v>
      </c>
      <c r="N42" s="284">
        <v>44</v>
      </c>
      <c r="O42" s="282">
        <v>6.3359999999999994</v>
      </c>
      <c r="P42" s="282">
        <v>69.695999999999998</v>
      </c>
      <c r="Q42" s="285"/>
      <c r="R42" s="687">
        <f>M42*S42</f>
        <v>1061.856</v>
      </c>
      <c r="S42" s="1172">
        <v>7374</v>
      </c>
      <c r="T42" s="688">
        <f>S42*D42/1000</f>
        <v>294.95999999999998</v>
      </c>
      <c r="U42" s="4"/>
      <c r="W42" s="649"/>
      <c r="X42" s="1162"/>
    </row>
    <row r="43" spans="1:24" ht="20.100000000000001" customHeight="1" thickBot="1" x14ac:dyDescent="0.3">
      <c r="A43" s="708"/>
      <c r="B43" s="203">
        <v>1200</v>
      </c>
      <c r="C43" s="287">
        <v>600</v>
      </c>
      <c r="D43" s="288">
        <v>50</v>
      </c>
      <c r="E43" s="289"/>
      <c r="F43" s="263"/>
      <c r="G43" s="288">
        <v>354766</v>
      </c>
      <c r="H43" s="686" t="s">
        <v>339</v>
      </c>
      <c r="I43" s="177">
        <f>IF(H43="C",ROUNDUP(5500/170/ПолыDDP!O43,0)*ПолыDDP!O43," ")</f>
        <v>32.4</v>
      </c>
      <c r="J43" s="291"/>
      <c r="K43" s="97">
        <v>5</v>
      </c>
      <c r="L43" s="166">
        <v>3.6</v>
      </c>
      <c r="M43" s="126">
        <v>0.18</v>
      </c>
      <c r="N43" s="127">
        <v>36</v>
      </c>
      <c r="O43" s="166">
        <v>6.4799999999999995</v>
      </c>
      <c r="P43" s="166">
        <v>71.28</v>
      </c>
      <c r="Q43" s="266"/>
      <c r="R43" s="687">
        <f>M43*S43</f>
        <v>1327.32</v>
      </c>
      <c r="S43" s="1173">
        <v>7374</v>
      </c>
      <c r="T43" s="688">
        <f>S43*D43/1000</f>
        <v>368.7</v>
      </c>
      <c r="U43" s="4"/>
      <c r="W43" s="649"/>
      <c r="X43" s="1162"/>
    </row>
    <row r="44" spans="1:24" ht="20.100000000000001" customHeight="1" thickBot="1" x14ac:dyDescent="0.3">
      <c r="A44" s="709" t="s">
        <v>472</v>
      </c>
      <c r="B44" s="292"/>
      <c r="C44" s="293"/>
      <c r="D44" s="294"/>
      <c r="E44" s="289"/>
      <c r="F44" s="289"/>
      <c r="G44" s="294"/>
      <c r="H44" s="702"/>
      <c r="I44" s="593"/>
      <c r="J44" s="297"/>
      <c r="K44" s="298"/>
      <c r="L44" s="299"/>
      <c r="M44" s="300"/>
      <c r="N44" s="301"/>
      <c r="O44" s="299"/>
      <c r="P44" s="299"/>
      <c r="Q44" s="302"/>
      <c r="R44" s="303"/>
      <c r="S44" s="304"/>
      <c r="T44" s="710"/>
      <c r="U44" s="4"/>
      <c r="W44" s="649"/>
      <c r="X44" s="82"/>
    </row>
    <row r="45" spans="1:24" ht="20.100000000000001" hidden="1" customHeight="1" x14ac:dyDescent="0.25">
      <c r="A45" s="1284"/>
      <c r="B45" s="450">
        <v>1200</v>
      </c>
      <c r="C45" s="451">
        <v>600</v>
      </c>
      <c r="D45" s="452">
        <v>160</v>
      </c>
      <c r="E45" s="112">
        <v>74.074074074074076</v>
      </c>
      <c r="F45" s="711">
        <v>11.482216343327455</v>
      </c>
      <c r="G45" s="712" t="s">
        <v>244</v>
      </c>
      <c r="H45" s="113" t="s">
        <v>46</v>
      </c>
      <c r="I45" s="712"/>
      <c r="J45" s="178">
        <v>212.8896</v>
      </c>
      <c r="K45" s="453">
        <v>2</v>
      </c>
      <c r="L45" s="188">
        <v>1.44</v>
      </c>
      <c r="M45" s="190">
        <v>0.23039999999999999</v>
      </c>
      <c r="N45" s="453">
        <v>28</v>
      </c>
      <c r="O45" s="190">
        <v>6.4512</v>
      </c>
      <c r="P45" s="191">
        <v>70.963200000000001</v>
      </c>
      <c r="Q45" s="55"/>
      <c r="R45" s="687">
        <f>M45*S45</f>
        <v>1060.992</v>
      </c>
      <c r="S45" s="441">
        <v>4605</v>
      </c>
      <c r="T45" s="713">
        <v>651.54399999999998</v>
      </c>
    </row>
    <row r="46" spans="1:24" ht="20.100000000000001" hidden="1" customHeight="1" x14ac:dyDescent="0.25">
      <c r="A46" s="1246"/>
      <c r="B46" s="12">
        <v>1200</v>
      </c>
      <c r="C46" s="13">
        <v>600</v>
      </c>
      <c r="D46" s="14">
        <v>170</v>
      </c>
      <c r="E46" s="107">
        <v>74.074074074074076</v>
      </c>
      <c r="F46" s="714">
        <v>10.806791852543487</v>
      </c>
      <c r="G46" s="715" t="s">
        <v>245</v>
      </c>
      <c r="H46" s="61" t="s">
        <v>46</v>
      </c>
      <c r="I46" s="715"/>
      <c r="J46" s="177">
        <v>226.1952</v>
      </c>
      <c r="K46" s="47">
        <v>2</v>
      </c>
      <c r="L46" s="188">
        <v>1.44</v>
      </c>
      <c r="M46" s="182">
        <v>0.24479999999999999</v>
      </c>
      <c r="N46" s="47">
        <v>28</v>
      </c>
      <c r="O46" s="182">
        <v>6.8544</v>
      </c>
      <c r="P46" s="192">
        <v>75.398399999999995</v>
      </c>
      <c r="Q46" s="48"/>
      <c r="R46" s="687">
        <f>M46*S46</f>
        <v>1127.3039999999999</v>
      </c>
      <c r="S46" s="100">
        <v>4605</v>
      </c>
      <c r="T46" s="716">
        <v>692.26549999999986</v>
      </c>
    </row>
    <row r="47" spans="1:24" ht="20.100000000000001" hidden="1" customHeight="1" x14ac:dyDescent="0.25">
      <c r="A47" s="1246"/>
      <c r="B47" s="717">
        <v>1200</v>
      </c>
      <c r="C47" s="718">
        <v>600</v>
      </c>
      <c r="D47" s="719">
        <v>180</v>
      </c>
      <c r="E47" s="720">
        <v>74.074074074074076</v>
      </c>
      <c r="F47" s="720">
        <v>11.907483615302546</v>
      </c>
      <c r="G47" s="721" t="s">
        <v>162</v>
      </c>
      <c r="H47" s="722" t="s">
        <v>46</v>
      </c>
      <c r="I47" s="721"/>
      <c r="J47" s="723">
        <v>205.28639999999999</v>
      </c>
      <c r="K47" s="724">
        <v>2</v>
      </c>
      <c r="L47" s="725">
        <v>1.44</v>
      </c>
      <c r="M47" s="726">
        <v>0.25919999999999999</v>
      </c>
      <c r="N47" s="724">
        <v>24</v>
      </c>
      <c r="O47" s="726">
        <v>6.2207999999999997</v>
      </c>
      <c r="P47" s="727">
        <v>68.428799999999995</v>
      </c>
      <c r="Q47" s="728"/>
      <c r="R47" s="687">
        <f>M47*S47</f>
        <v>1193.616</v>
      </c>
      <c r="S47" s="729">
        <v>4605</v>
      </c>
      <c r="T47" s="730">
        <v>732.98699999999985</v>
      </c>
    </row>
    <row r="48" spans="1:24" ht="20.100000000000001" hidden="1" customHeight="1" x14ac:dyDescent="0.25">
      <c r="A48" s="1246"/>
      <c r="B48" s="12">
        <v>1200</v>
      </c>
      <c r="C48" s="13">
        <v>600</v>
      </c>
      <c r="D48" s="14">
        <v>190</v>
      </c>
      <c r="E48" s="107">
        <v>74.074074074074076</v>
      </c>
      <c r="F48" s="714">
        <v>11.280773951339254</v>
      </c>
      <c r="G48" s="715" t="s">
        <v>246</v>
      </c>
      <c r="H48" s="61" t="s">
        <v>46</v>
      </c>
      <c r="I48" s="715"/>
      <c r="J48" s="177">
        <v>216.69120000000001</v>
      </c>
      <c r="K48" s="47">
        <v>2</v>
      </c>
      <c r="L48" s="188">
        <v>1.4400000000000002</v>
      </c>
      <c r="M48" s="182">
        <v>0.27360000000000001</v>
      </c>
      <c r="N48" s="47">
        <v>24</v>
      </c>
      <c r="O48" s="182">
        <v>6.5663999999999998</v>
      </c>
      <c r="P48" s="192">
        <v>72.230400000000003</v>
      </c>
      <c r="Q48" s="48"/>
      <c r="R48" s="687">
        <f>M48*S48</f>
        <v>1259.9280000000001</v>
      </c>
      <c r="S48" s="100">
        <v>4605</v>
      </c>
      <c r="T48" s="731">
        <v>773.70849999999984</v>
      </c>
    </row>
    <row r="49" spans="1:20" ht="20.100000000000001" hidden="1" customHeight="1" x14ac:dyDescent="0.25">
      <c r="A49" s="1247"/>
      <c r="B49" s="732">
        <v>1200</v>
      </c>
      <c r="C49" s="733">
        <v>600</v>
      </c>
      <c r="D49" s="734">
        <v>200</v>
      </c>
      <c r="E49" s="735">
        <v>74.074074074074076</v>
      </c>
      <c r="F49" s="736">
        <v>10.716735253772292</v>
      </c>
      <c r="G49" s="737" t="s">
        <v>163</v>
      </c>
      <c r="H49" s="722" t="s">
        <v>46</v>
      </c>
      <c r="I49" s="738"/>
      <c r="J49" s="723">
        <v>228.09599999999995</v>
      </c>
      <c r="K49" s="739">
        <v>1</v>
      </c>
      <c r="L49" s="740">
        <v>0.72</v>
      </c>
      <c r="M49" s="741">
        <v>0.14399999999999999</v>
      </c>
      <c r="N49" s="739">
        <v>48</v>
      </c>
      <c r="O49" s="741">
        <v>6.911999999999999</v>
      </c>
      <c r="P49" s="742">
        <v>76.031999999999982</v>
      </c>
      <c r="Q49" s="743"/>
      <c r="R49" s="696">
        <f>M49*S49</f>
        <v>663.12</v>
      </c>
      <c r="S49" s="729">
        <v>4605</v>
      </c>
      <c r="T49" s="744">
        <v>814.42999999999984</v>
      </c>
    </row>
    <row r="50" spans="1:20" ht="20.100000000000001" customHeight="1" x14ac:dyDescent="0.25">
      <c r="A50" s="8"/>
      <c r="B50" s="20"/>
      <c r="J50" s="138"/>
    </row>
    <row r="51" spans="1:20" ht="18.75" customHeight="1" x14ac:dyDescent="0.25">
      <c r="A51" s="1" t="s">
        <v>7</v>
      </c>
      <c r="E51" s="2"/>
      <c r="F51" s="2"/>
      <c r="G51" s="2"/>
      <c r="H51" s="2"/>
      <c r="I51" s="2"/>
      <c r="J51" s="134"/>
      <c r="P51" s="1275" t="s">
        <v>21</v>
      </c>
      <c r="Q51" s="1275"/>
      <c r="R51" s="1275"/>
      <c r="S51" s="1275"/>
      <c r="T51" s="1275"/>
    </row>
    <row r="52" spans="1:20" s="745" customFormat="1" ht="20.100000000000001" customHeight="1" x14ac:dyDescent="0.25">
      <c r="A52" s="471" t="s">
        <v>342</v>
      </c>
      <c r="K52" s="746"/>
      <c r="M52" s="747"/>
      <c r="N52" s="746"/>
      <c r="O52" s="748"/>
      <c r="P52" s="1244" t="s">
        <v>40</v>
      </c>
      <c r="Q52" s="1244"/>
      <c r="R52" s="1244"/>
      <c r="S52" s="1244"/>
      <c r="T52" s="1244"/>
    </row>
    <row r="53" spans="1:20" ht="20.100000000000001" customHeight="1" x14ac:dyDescent="0.25">
      <c r="A53" s="26" t="s">
        <v>438</v>
      </c>
      <c r="E53" s="2"/>
      <c r="F53" s="2"/>
      <c r="G53" s="2"/>
      <c r="H53" s="2"/>
      <c r="I53" s="2"/>
      <c r="J53" s="2"/>
      <c r="P53" s="1244" t="s">
        <v>39</v>
      </c>
      <c r="Q53" s="1244"/>
      <c r="R53" s="1244"/>
      <c r="S53" s="1244"/>
      <c r="T53" s="1244"/>
    </row>
    <row r="54" spans="1:20" ht="20.100000000000001" customHeight="1" x14ac:dyDescent="0.25">
      <c r="A54" s="26" t="s">
        <v>24</v>
      </c>
      <c r="E54" s="2"/>
      <c r="F54" s="2"/>
      <c r="G54" s="2"/>
      <c r="H54" s="2"/>
      <c r="I54" s="2"/>
      <c r="J54" s="2"/>
      <c r="P54" s="1245" t="s">
        <v>37</v>
      </c>
      <c r="Q54" s="1245"/>
      <c r="R54" s="1245"/>
      <c r="S54" s="1245"/>
      <c r="T54" s="1245"/>
    </row>
    <row r="55" spans="1:20" ht="20.100000000000001" customHeight="1" x14ac:dyDescent="0.25">
      <c r="A55" s="26" t="s">
        <v>52</v>
      </c>
      <c r="E55" s="2"/>
      <c r="F55" s="2"/>
      <c r="G55" s="2"/>
      <c r="H55" s="2"/>
      <c r="I55" s="2"/>
      <c r="J55" s="2"/>
      <c r="R55" s="1245" t="s">
        <v>38</v>
      </c>
      <c r="S55" s="1245"/>
      <c r="T55" s="1245"/>
    </row>
    <row r="56" spans="1:20" ht="20.100000000000001" customHeight="1" x14ac:dyDescent="0.25">
      <c r="A56" s="30" t="s">
        <v>457</v>
      </c>
      <c r="E56" s="2"/>
      <c r="F56" s="4"/>
      <c r="G56" s="2"/>
      <c r="H56" s="2"/>
      <c r="I56" s="2"/>
      <c r="J56" s="5"/>
      <c r="L56" s="56"/>
    </row>
    <row r="57" spans="1:20" ht="20.100000000000001" customHeight="1" x14ac:dyDescent="0.25">
      <c r="A57" s="30" t="s">
        <v>458</v>
      </c>
      <c r="E57" s="2"/>
      <c r="F57" s="4"/>
      <c r="G57" s="2"/>
      <c r="H57" s="2"/>
      <c r="I57" s="2"/>
      <c r="J57" s="5"/>
      <c r="L57" s="56"/>
    </row>
    <row r="58" spans="1:20" ht="20.100000000000001" customHeight="1" x14ac:dyDescent="0.25">
      <c r="A58" s="30" t="s">
        <v>612</v>
      </c>
      <c r="E58" s="2"/>
      <c r="F58" s="4"/>
      <c r="G58" s="2"/>
      <c r="H58" s="2"/>
      <c r="I58" s="2"/>
      <c r="J58" s="5"/>
      <c r="L58" s="56"/>
    </row>
    <row r="59" spans="1:20" ht="20.100000000000001" customHeight="1" x14ac:dyDescent="0.25">
      <c r="A59" s="30"/>
      <c r="E59" s="4"/>
      <c r="F59" s="2"/>
      <c r="G59" s="2"/>
      <c r="H59" s="2"/>
      <c r="I59" s="2"/>
      <c r="J59" s="5"/>
      <c r="L59" s="56"/>
    </row>
    <row r="60" spans="1:20" ht="20.100000000000001" customHeight="1" x14ac:dyDescent="0.25">
      <c r="A60" s="30"/>
      <c r="E60" s="4"/>
      <c r="F60" s="2"/>
      <c r="G60" s="2"/>
      <c r="H60" s="2"/>
      <c r="I60" s="2"/>
      <c r="J60" s="5"/>
      <c r="L60" s="56"/>
    </row>
    <row r="61" spans="1:20" ht="20.100000000000001" customHeight="1" x14ac:dyDescent="0.25">
      <c r="A61" s="31"/>
      <c r="E61" s="2"/>
      <c r="F61" s="2"/>
      <c r="G61" s="2"/>
      <c r="H61" s="2"/>
      <c r="I61" s="2"/>
      <c r="J61" s="2"/>
    </row>
    <row r="62" spans="1:20" ht="20.100000000000001" customHeight="1" x14ac:dyDescent="0.25">
      <c r="E62" s="2"/>
      <c r="F62" s="2"/>
      <c r="G62" s="2"/>
      <c r="H62" s="2"/>
      <c r="I62" s="2"/>
      <c r="J62" s="2"/>
    </row>
    <row r="63" spans="1:20" ht="19.5" customHeight="1" x14ac:dyDescent="0.25">
      <c r="A63" s="2"/>
      <c r="E63" s="2"/>
      <c r="F63" s="2"/>
      <c r="G63" s="2"/>
      <c r="H63" s="2"/>
      <c r="I63" s="2"/>
      <c r="J63" s="2"/>
    </row>
    <row r="64" spans="1:20" ht="20.100000000000001" customHeight="1" x14ac:dyDescent="0.25">
      <c r="A64" s="2"/>
      <c r="E64" s="2"/>
      <c r="F64" s="2"/>
      <c r="G64" s="2"/>
      <c r="H64" s="2"/>
      <c r="I64" s="2"/>
      <c r="J64" s="2"/>
    </row>
    <row r="65" spans="1:20" ht="20.100000000000001" customHeight="1" x14ac:dyDescent="0.25">
      <c r="A65" s="2"/>
      <c r="C65" s="19"/>
      <c r="D65" s="20"/>
      <c r="E65" s="20"/>
      <c r="F65" s="20"/>
      <c r="G65" s="20"/>
      <c r="H65" s="20"/>
      <c r="I65" s="20"/>
      <c r="J65" s="20"/>
      <c r="K65" s="21"/>
      <c r="L65" s="20"/>
      <c r="M65" s="22"/>
      <c r="N65" s="69"/>
      <c r="O65" s="60"/>
      <c r="P65" s="20"/>
      <c r="Q65" s="22"/>
      <c r="R65" s="22"/>
      <c r="S65" s="22"/>
      <c r="T65" s="22"/>
    </row>
    <row r="66" spans="1:20" ht="20.100000000000001" customHeight="1" x14ac:dyDescent="0.25">
      <c r="C66" s="23"/>
      <c r="D66" s="20"/>
      <c r="E66" s="20"/>
      <c r="F66" s="20"/>
      <c r="G66" s="20"/>
      <c r="H66" s="20"/>
      <c r="I66" s="20"/>
      <c r="J66" s="20"/>
      <c r="K66" s="21"/>
      <c r="L66" s="20"/>
      <c r="M66" s="24"/>
      <c r="N66" s="70"/>
      <c r="O66" s="60"/>
      <c r="P66" s="20"/>
      <c r="Q66" s="24"/>
      <c r="R66" s="24"/>
      <c r="S66" s="24"/>
      <c r="T66" s="24"/>
    </row>
    <row r="67" spans="1:20" ht="20.100000000000001" customHeight="1" x14ac:dyDescent="0.25">
      <c r="C67" s="23"/>
      <c r="D67" s="20"/>
      <c r="E67" s="20"/>
      <c r="F67" s="20"/>
      <c r="G67" s="20"/>
      <c r="H67" s="20"/>
      <c r="I67" s="20"/>
      <c r="J67" s="20"/>
      <c r="K67" s="21"/>
      <c r="L67" s="20"/>
      <c r="M67" s="24"/>
      <c r="N67" s="70"/>
      <c r="O67" s="60"/>
      <c r="P67" s="20"/>
      <c r="Q67" s="24"/>
      <c r="R67" s="24"/>
      <c r="S67" s="24"/>
      <c r="T67" s="24"/>
    </row>
    <row r="69" spans="1:20" x14ac:dyDescent="0.25">
      <c r="B69" s="25"/>
    </row>
  </sheetData>
  <mergeCells count="20">
    <mergeCell ref="A45:A49"/>
    <mergeCell ref="P51:T51"/>
    <mergeCell ref="A4:T4"/>
    <mergeCell ref="A6:A7"/>
    <mergeCell ref="B6:B7"/>
    <mergeCell ref="C6:C7"/>
    <mergeCell ref="D6:D7"/>
    <mergeCell ref="E6:E7"/>
    <mergeCell ref="G6:G7"/>
    <mergeCell ref="H6:H7"/>
    <mergeCell ref="I6:I7"/>
    <mergeCell ref="J6:J7"/>
    <mergeCell ref="P52:T52"/>
    <mergeCell ref="P53:T53"/>
    <mergeCell ref="P54:T54"/>
    <mergeCell ref="R55:T55"/>
    <mergeCell ref="K6:M6"/>
    <mergeCell ref="N6:O6"/>
    <mergeCell ref="P6:Q6"/>
    <mergeCell ref="R6:T6"/>
  </mergeCells>
  <hyperlinks>
    <hyperlink ref="P54" r:id="rId1"/>
    <hyperlink ref="R55" r:id="rId2"/>
  </hyperlinks>
  <printOptions horizontalCentered="1"/>
  <pageMargins left="0.19685039370078741" right="0.19685039370078741" top="0.39370078740157483" bottom="0" header="0" footer="0"/>
  <pageSetup paperSize="9" scale="40" orientation="portrait" verticalDpi="1" r:id="rId3"/>
  <headerFooter alignWithMargins="0"/>
  <drawing r:id="rId4"/>
  <legacyDrawing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9">
    <tabColor rgb="FFFF0000"/>
  </sheetPr>
  <dimension ref="A1:AA71"/>
  <sheetViews>
    <sheetView showGridLines="0" view="pageBreakPreview" zoomScale="74" zoomScaleNormal="100" zoomScaleSheetLayoutView="74" workbookViewId="0">
      <pane xSplit="1" ySplit="7" topLeftCell="O8" activePane="bottomRight" state="frozen"/>
      <selection sqref="A1:IV65536"/>
      <selection pane="topRight" sqref="A1:IV65536"/>
      <selection pane="bottomLeft" sqref="A1:IV65536"/>
      <selection pane="bottomRight" activeCell="X1" sqref="X1:Z1048576"/>
    </sheetView>
  </sheetViews>
  <sheetFormatPr defaultColWidth="11.42578125" defaultRowHeight="18" x14ac:dyDescent="0.25"/>
  <cols>
    <col min="1" max="1" width="38.7109375" style="3" customWidth="1"/>
    <col min="2" max="4" width="9.7109375" style="2" customWidth="1"/>
    <col min="5" max="6" width="11.140625" style="71" hidden="1" customWidth="1"/>
    <col min="7" max="7" width="18.140625" style="71" customWidth="1"/>
    <col min="8" max="8" width="6.140625" style="71" customWidth="1"/>
    <col min="9" max="9" width="12.28515625" style="71" customWidth="1"/>
    <col min="10" max="10" width="11.140625" style="71" hidden="1" customWidth="1"/>
    <col min="11" max="11" width="9.28515625" style="4" customWidth="1"/>
    <col min="12" max="12" width="11.5703125" style="2" customWidth="1"/>
    <col min="13" max="13" width="11.5703125" style="5" customWidth="1"/>
    <col min="14" max="14" width="11.5703125" style="4" customWidth="1"/>
    <col min="15" max="15" width="13.85546875" style="56" customWidth="1"/>
    <col min="16" max="16" width="11.5703125" style="2" customWidth="1"/>
    <col min="17" max="17" width="11.5703125" style="5" customWidth="1"/>
    <col min="18" max="18" width="15.140625" style="2" customWidth="1"/>
    <col min="19" max="19" width="11.85546875" style="2" customWidth="1"/>
    <col min="20" max="20" width="14" style="2" customWidth="1"/>
    <col min="21" max="21" width="29.7109375" style="745" customWidth="1"/>
    <col min="22" max="22" width="11.42578125" style="953" customWidth="1"/>
    <col min="23" max="23" width="22.7109375" style="745" customWidth="1"/>
    <col min="24" max="24" width="17.140625" style="2" bestFit="1" customWidth="1"/>
    <col min="25" max="259" width="11.42578125" style="2"/>
    <col min="260" max="260" width="38.7109375" style="2" customWidth="1"/>
    <col min="261" max="263" width="9.7109375" style="2" customWidth="1"/>
    <col min="264" max="265" width="0" style="2" hidden="1" customWidth="1"/>
    <col min="266" max="266" width="18.140625" style="2" customWidth="1"/>
    <col min="267" max="267" width="6.140625" style="2" customWidth="1"/>
    <col min="268" max="268" width="12.28515625" style="2" customWidth="1"/>
    <col min="269" max="269" width="0" style="2" hidden="1" customWidth="1"/>
    <col min="270" max="270" width="9.28515625" style="2" customWidth="1"/>
    <col min="271" max="273" width="11.5703125" style="2" customWidth="1"/>
    <col min="274" max="274" width="13.85546875" style="2" customWidth="1"/>
    <col min="275" max="276" width="11.5703125" style="2" customWidth="1"/>
    <col min="277" max="277" width="15.140625" style="2" customWidth="1"/>
    <col min="278" max="278" width="11.85546875" style="2" customWidth="1"/>
    <col min="279" max="279" width="14" style="2" customWidth="1"/>
    <col min="280" max="515" width="11.42578125" style="2"/>
    <col min="516" max="516" width="38.7109375" style="2" customWidth="1"/>
    <col min="517" max="519" width="9.7109375" style="2" customWidth="1"/>
    <col min="520" max="521" width="0" style="2" hidden="1" customWidth="1"/>
    <col min="522" max="522" width="18.140625" style="2" customWidth="1"/>
    <col min="523" max="523" width="6.140625" style="2" customWidth="1"/>
    <col min="524" max="524" width="12.28515625" style="2" customWidth="1"/>
    <col min="525" max="525" width="0" style="2" hidden="1" customWidth="1"/>
    <col min="526" max="526" width="9.28515625" style="2" customWidth="1"/>
    <col min="527" max="529" width="11.5703125" style="2" customWidth="1"/>
    <col min="530" max="530" width="13.85546875" style="2" customWidth="1"/>
    <col min="531" max="532" width="11.5703125" style="2" customWidth="1"/>
    <col min="533" max="533" width="15.140625" style="2" customWidth="1"/>
    <col min="534" max="534" width="11.85546875" style="2" customWidth="1"/>
    <col min="535" max="535" width="14" style="2" customWidth="1"/>
    <col min="536" max="771" width="11.42578125" style="2"/>
    <col min="772" max="772" width="38.7109375" style="2" customWidth="1"/>
    <col min="773" max="775" width="9.7109375" style="2" customWidth="1"/>
    <col min="776" max="777" width="0" style="2" hidden="1" customWidth="1"/>
    <col min="778" max="778" width="18.140625" style="2" customWidth="1"/>
    <col min="779" max="779" width="6.140625" style="2" customWidth="1"/>
    <col min="780" max="780" width="12.28515625" style="2" customWidth="1"/>
    <col min="781" max="781" width="0" style="2" hidden="1" customWidth="1"/>
    <col min="782" max="782" width="9.28515625" style="2" customWidth="1"/>
    <col min="783" max="785" width="11.5703125" style="2" customWidth="1"/>
    <col min="786" max="786" width="13.85546875" style="2" customWidth="1"/>
    <col min="787" max="788" width="11.5703125" style="2" customWidth="1"/>
    <col min="789" max="789" width="15.140625" style="2" customWidth="1"/>
    <col min="790" max="790" width="11.85546875" style="2" customWidth="1"/>
    <col min="791" max="791" width="14" style="2" customWidth="1"/>
    <col min="792" max="1027" width="11.42578125" style="2"/>
    <col min="1028" max="1028" width="38.7109375" style="2" customWidth="1"/>
    <col min="1029" max="1031" width="9.7109375" style="2" customWidth="1"/>
    <col min="1032" max="1033" width="0" style="2" hidden="1" customWidth="1"/>
    <col min="1034" max="1034" width="18.140625" style="2" customWidth="1"/>
    <col min="1035" max="1035" width="6.140625" style="2" customWidth="1"/>
    <col min="1036" max="1036" width="12.28515625" style="2" customWidth="1"/>
    <col min="1037" max="1037" width="0" style="2" hidden="1" customWidth="1"/>
    <col min="1038" max="1038" width="9.28515625" style="2" customWidth="1"/>
    <col min="1039" max="1041" width="11.5703125" style="2" customWidth="1"/>
    <col min="1042" max="1042" width="13.85546875" style="2" customWidth="1"/>
    <col min="1043" max="1044" width="11.5703125" style="2" customWidth="1"/>
    <col min="1045" max="1045" width="15.140625" style="2" customWidth="1"/>
    <col min="1046" max="1046" width="11.85546875" style="2" customWidth="1"/>
    <col min="1047" max="1047" width="14" style="2" customWidth="1"/>
    <col min="1048" max="1283" width="11.42578125" style="2"/>
    <col min="1284" max="1284" width="38.7109375" style="2" customWidth="1"/>
    <col min="1285" max="1287" width="9.7109375" style="2" customWidth="1"/>
    <col min="1288" max="1289" width="0" style="2" hidden="1" customWidth="1"/>
    <col min="1290" max="1290" width="18.140625" style="2" customWidth="1"/>
    <col min="1291" max="1291" width="6.140625" style="2" customWidth="1"/>
    <col min="1292" max="1292" width="12.28515625" style="2" customWidth="1"/>
    <col min="1293" max="1293" width="0" style="2" hidden="1" customWidth="1"/>
    <col min="1294" max="1294" width="9.28515625" style="2" customWidth="1"/>
    <col min="1295" max="1297" width="11.5703125" style="2" customWidth="1"/>
    <col min="1298" max="1298" width="13.85546875" style="2" customWidth="1"/>
    <col min="1299" max="1300" width="11.5703125" style="2" customWidth="1"/>
    <col min="1301" max="1301" width="15.140625" style="2" customWidth="1"/>
    <col min="1302" max="1302" width="11.85546875" style="2" customWidth="1"/>
    <col min="1303" max="1303" width="14" style="2" customWidth="1"/>
    <col min="1304" max="1539" width="11.42578125" style="2"/>
    <col min="1540" max="1540" width="38.7109375" style="2" customWidth="1"/>
    <col min="1541" max="1543" width="9.7109375" style="2" customWidth="1"/>
    <col min="1544" max="1545" width="0" style="2" hidden="1" customWidth="1"/>
    <col min="1546" max="1546" width="18.140625" style="2" customWidth="1"/>
    <col min="1547" max="1547" width="6.140625" style="2" customWidth="1"/>
    <col min="1548" max="1548" width="12.28515625" style="2" customWidth="1"/>
    <col min="1549" max="1549" width="0" style="2" hidden="1" customWidth="1"/>
    <col min="1550" max="1550" width="9.28515625" style="2" customWidth="1"/>
    <col min="1551" max="1553" width="11.5703125" style="2" customWidth="1"/>
    <col min="1554" max="1554" width="13.85546875" style="2" customWidth="1"/>
    <col min="1555" max="1556" width="11.5703125" style="2" customWidth="1"/>
    <col min="1557" max="1557" width="15.140625" style="2" customWidth="1"/>
    <col min="1558" max="1558" width="11.85546875" style="2" customWidth="1"/>
    <col min="1559" max="1559" width="14" style="2" customWidth="1"/>
    <col min="1560" max="1795" width="11.42578125" style="2"/>
    <col min="1796" max="1796" width="38.7109375" style="2" customWidth="1"/>
    <col min="1797" max="1799" width="9.7109375" style="2" customWidth="1"/>
    <col min="1800" max="1801" width="0" style="2" hidden="1" customWidth="1"/>
    <col min="1802" max="1802" width="18.140625" style="2" customWidth="1"/>
    <col min="1803" max="1803" width="6.140625" style="2" customWidth="1"/>
    <col min="1804" max="1804" width="12.28515625" style="2" customWidth="1"/>
    <col min="1805" max="1805" width="0" style="2" hidden="1" customWidth="1"/>
    <col min="1806" max="1806" width="9.28515625" style="2" customWidth="1"/>
    <col min="1807" max="1809" width="11.5703125" style="2" customWidth="1"/>
    <col min="1810" max="1810" width="13.85546875" style="2" customWidth="1"/>
    <col min="1811" max="1812" width="11.5703125" style="2" customWidth="1"/>
    <col min="1813" max="1813" width="15.140625" style="2" customWidth="1"/>
    <col min="1814" max="1814" width="11.85546875" style="2" customWidth="1"/>
    <col min="1815" max="1815" width="14" style="2" customWidth="1"/>
    <col min="1816" max="2051" width="11.42578125" style="2"/>
    <col min="2052" max="2052" width="38.7109375" style="2" customWidth="1"/>
    <col min="2053" max="2055" width="9.7109375" style="2" customWidth="1"/>
    <col min="2056" max="2057" width="0" style="2" hidden="1" customWidth="1"/>
    <col min="2058" max="2058" width="18.140625" style="2" customWidth="1"/>
    <col min="2059" max="2059" width="6.140625" style="2" customWidth="1"/>
    <col min="2060" max="2060" width="12.28515625" style="2" customWidth="1"/>
    <col min="2061" max="2061" width="0" style="2" hidden="1" customWidth="1"/>
    <col min="2062" max="2062" width="9.28515625" style="2" customWidth="1"/>
    <col min="2063" max="2065" width="11.5703125" style="2" customWidth="1"/>
    <col min="2066" max="2066" width="13.85546875" style="2" customWidth="1"/>
    <col min="2067" max="2068" width="11.5703125" style="2" customWidth="1"/>
    <col min="2069" max="2069" width="15.140625" style="2" customWidth="1"/>
    <col min="2070" max="2070" width="11.85546875" style="2" customWidth="1"/>
    <col min="2071" max="2071" width="14" style="2" customWidth="1"/>
    <col min="2072" max="2307" width="11.42578125" style="2"/>
    <col min="2308" max="2308" width="38.7109375" style="2" customWidth="1"/>
    <col min="2309" max="2311" width="9.7109375" style="2" customWidth="1"/>
    <col min="2312" max="2313" width="0" style="2" hidden="1" customWidth="1"/>
    <col min="2314" max="2314" width="18.140625" style="2" customWidth="1"/>
    <col min="2315" max="2315" width="6.140625" style="2" customWidth="1"/>
    <col min="2316" max="2316" width="12.28515625" style="2" customWidth="1"/>
    <col min="2317" max="2317" width="0" style="2" hidden="1" customWidth="1"/>
    <col min="2318" max="2318" width="9.28515625" style="2" customWidth="1"/>
    <col min="2319" max="2321" width="11.5703125" style="2" customWidth="1"/>
    <col min="2322" max="2322" width="13.85546875" style="2" customWidth="1"/>
    <col min="2323" max="2324" width="11.5703125" style="2" customWidth="1"/>
    <col min="2325" max="2325" width="15.140625" style="2" customWidth="1"/>
    <col min="2326" max="2326" width="11.85546875" style="2" customWidth="1"/>
    <col min="2327" max="2327" width="14" style="2" customWidth="1"/>
    <col min="2328" max="2563" width="11.42578125" style="2"/>
    <col min="2564" max="2564" width="38.7109375" style="2" customWidth="1"/>
    <col min="2565" max="2567" width="9.7109375" style="2" customWidth="1"/>
    <col min="2568" max="2569" width="0" style="2" hidden="1" customWidth="1"/>
    <col min="2570" max="2570" width="18.140625" style="2" customWidth="1"/>
    <col min="2571" max="2571" width="6.140625" style="2" customWidth="1"/>
    <col min="2572" max="2572" width="12.28515625" style="2" customWidth="1"/>
    <col min="2573" max="2573" width="0" style="2" hidden="1" customWidth="1"/>
    <col min="2574" max="2574" width="9.28515625" style="2" customWidth="1"/>
    <col min="2575" max="2577" width="11.5703125" style="2" customWidth="1"/>
    <col min="2578" max="2578" width="13.85546875" style="2" customWidth="1"/>
    <col min="2579" max="2580" width="11.5703125" style="2" customWidth="1"/>
    <col min="2581" max="2581" width="15.140625" style="2" customWidth="1"/>
    <col min="2582" max="2582" width="11.85546875" style="2" customWidth="1"/>
    <col min="2583" max="2583" width="14" style="2" customWidth="1"/>
    <col min="2584" max="2819" width="11.42578125" style="2"/>
    <col min="2820" max="2820" width="38.7109375" style="2" customWidth="1"/>
    <col min="2821" max="2823" width="9.7109375" style="2" customWidth="1"/>
    <col min="2824" max="2825" width="0" style="2" hidden="1" customWidth="1"/>
    <col min="2826" max="2826" width="18.140625" style="2" customWidth="1"/>
    <col min="2827" max="2827" width="6.140625" style="2" customWidth="1"/>
    <col min="2828" max="2828" width="12.28515625" style="2" customWidth="1"/>
    <col min="2829" max="2829" width="0" style="2" hidden="1" customWidth="1"/>
    <col min="2830" max="2830" width="9.28515625" style="2" customWidth="1"/>
    <col min="2831" max="2833" width="11.5703125" style="2" customWidth="1"/>
    <col min="2834" max="2834" width="13.85546875" style="2" customWidth="1"/>
    <col min="2835" max="2836" width="11.5703125" style="2" customWidth="1"/>
    <col min="2837" max="2837" width="15.140625" style="2" customWidth="1"/>
    <col min="2838" max="2838" width="11.85546875" style="2" customWidth="1"/>
    <col min="2839" max="2839" width="14" style="2" customWidth="1"/>
    <col min="2840" max="3075" width="11.42578125" style="2"/>
    <col min="3076" max="3076" width="38.7109375" style="2" customWidth="1"/>
    <col min="3077" max="3079" width="9.7109375" style="2" customWidth="1"/>
    <col min="3080" max="3081" width="0" style="2" hidden="1" customWidth="1"/>
    <col min="3082" max="3082" width="18.140625" style="2" customWidth="1"/>
    <col min="3083" max="3083" width="6.140625" style="2" customWidth="1"/>
    <col min="3084" max="3084" width="12.28515625" style="2" customWidth="1"/>
    <col min="3085" max="3085" width="0" style="2" hidden="1" customWidth="1"/>
    <col min="3086" max="3086" width="9.28515625" style="2" customWidth="1"/>
    <col min="3087" max="3089" width="11.5703125" style="2" customWidth="1"/>
    <col min="3090" max="3090" width="13.85546875" style="2" customWidth="1"/>
    <col min="3091" max="3092" width="11.5703125" style="2" customWidth="1"/>
    <col min="3093" max="3093" width="15.140625" style="2" customWidth="1"/>
    <col min="3094" max="3094" width="11.85546875" style="2" customWidth="1"/>
    <col min="3095" max="3095" width="14" style="2" customWidth="1"/>
    <col min="3096" max="3331" width="11.42578125" style="2"/>
    <col min="3332" max="3332" width="38.7109375" style="2" customWidth="1"/>
    <col min="3333" max="3335" width="9.7109375" style="2" customWidth="1"/>
    <col min="3336" max="3337" width="0" style="2" hidden="1" customWidth="1"/>
    <col min="3338" max="3338" width="18.140625" style="2" customWidth="1"/>
    <col min="3339" max="3339" width="6.140625" style="2" customWidth="1"/>
    <col min="3340" max="3340" width="12.28515625" style="2" customWidth="1"/>
    <col min="3341" max="3341" width="0" style="2" hidden="1" customWidth="1"/>
    <col min="3342" max="3342" width="9.28515625" style="2" customWidth="1"/>
    <col min="3343" max="3345" width="11.5703125" style="2" customWidth="1"/>
    <col min="3346" max="3346" width="13.85546875" style="2" customWidth="1"/>
    <col min="3347" max="3348" width="11.5703125" style="2" customWidth="1"/>
    <col min="3349" max="3349" width="15.140625" style="2" customWidth="1"/>
    <col min="3350" max="3350" width="11.85546875" style="2" customWidth="1"/>
    <col min="3351" max="3351" width="14" style="2" customWidth="1"/>
    <col min="3352" max="3587" width="11.42578125" style="2"/>
    <col min="3588" max="3588" width="38.7109375" style="2" customWidth="1"/>
    <col min="3589" max="3591" width="9.7109375" style="2" customWidth="1"/>
    <col min="3592" max="3593" width="0" style="2" hidden="1" customWidth="1"/>
    <col min="3594" max="3594" width="18.140625" style="2" customWidth="1"/>
    <col min="3595" max="3595" width="6.140625" style="2" customWidth="1"/>
    <col min="3596" max="3596" width="12.28515625" style="2" customWidth="1"/>
    <col min="3597" max="3597" width="0" style="2" hidden="1" customWidth="1"/>
    <col min="3598" max="3598" width="9.28515625" style="2" customWidth="1"/>
    <col min="3599" max="3601" width="11.5703125" style="2" customWidth="1"/>
    <col min="3602" max="3602" width="13.85546875" style="2" customWidth="1"/>
    <col min="3603" max="3604" width="11.5703125" style="2" customWidth="1"/>
    <col min="3605" max="3605" width="15.140625" style="2" customWidth="1"/>
    <col min="3606" max="3606" width="11.85546875" style="2" customWidth="1"/>
    <col min="3607" max="3607" width="14" style="2" customWidth="1"/>
    <col min="3608" max="3843" width="11.42578125" style="2"/>
    <col min="3844" max="3844" width="38.7109375" style="2" customWidth="1"/>
    <col min="3845" max="3847" width="9.7109375" style="2" customWidth="1"/>
    <col min="3848" max="3849" width="0" style="2" hidden="1" customWidth="1"/>
    <col min="3850" max="3850" width="18.140625" style="2" customWidth="1"/>
    <col min="3851" max="3851" width="6.140625" style="2" customWidth="1"/>
    <col min="3852" max="3852" width="12.28515625" style="2" customWidth="1"/>
    <col min="3853" max="3853" width="0" style="2" hidden="1" customWidth="1"/>
    <col min="3854" max="3854" width="9.28515625" style="2" customWidth="1"/>
    <col min="3855" max="3857" width="11.5703125" style="2" customWidth="1"/>
    <col min="3858" max="3858" width="13.85546875" style="2" customWidth="1"/>
    <col min="3859" max="3860" width="11.5703125" style="2" customWidth="1"/>
    <col min="3861" max="3861" width="15.140625" style="2" customWidth="1"/>
    <col min="3862" max="3862" width="11.85546875" style="2" customWidth="1"/>
    <col min="3863" max="3863" width="14" style="2" customWidth="1"/>
    <col min="3864" max="4099" width="11.42578125" style="2"/>
    <col min="4100" max="4100" width="38.7109375" style="2" customWidth="1"/>
    <col min="4101" max="4103" width="9.7109375" style="2" customWidth="1"/>
    <col min="4104" max="4105" width="0" style="2" hidden="1" customWidth="1"/>
    <col min="4106" max="4106" width="18.140625" style="2" customWidth="1"/>
    <col min="4107" max="4107" width="6.140625" style="2" customWidth="1"/>
    <col min="4108" max="4108" width="12.28515625" style="2" customWidth="1"/>
    <col min="4109" max="4109" width="0" style="2" hidden="1" customWidth="1"/>
    <col min="4110" max="4110" width="9.28515625" style="2" customWidth="1"/>
    <col min="4111" max="4113" width="11.5703125" style="2" customWidth="1"/>
    <col min="4114" max="4114" width="13.85546875" style="2" customWidth="1"/>
    <col min="4115" max="4116" width="11.5703125" style="2" customWidth="1"/>
    <col min="4117" max="4117" width="15.140625" style="2" customWidth="1"/>
    <col min="4118" max="4118" width="11.85546875" style="2" customWidth="1"/>
    <col min="4119" max="4119" width="14" style="2" customWidth="1"/>
    <col min="4120" max="4355" width="11.42578125" style="2"/>
    <col min="4356" max="4356" width="38.7109375" style="2" customWidth="1"/>
    <col min="4357" max="4359" width="9.7109375" style="2" customWidth="1"/>
    <col min="4360" max="4361" width="0" style="2" hidden="1" customWidth="1"/>
    <col min="4362" max="4362" width="18.140625" style="2" customWidth="1"/>
    <col min="4363" max="4363" width="6.140625" style="2" customWidth="1"/>
    <col min="4364" max="4364" width="12.28515625" style="2" customWidth="1"/>
    <col min="4365" max="4365" width="0" style="2" hidden="1" customWidth="1"/>
    <col min="4366" max="4366" width="9.28515625" style="2" customWidth="1"/>
    <col min="4367" max="4369" width="11.5703125" style="2" customWidth="1"/>
    <col min="4370" max="4370" width="13.85546875" style="2" customWidth="1"/>
    <col min="4371" max="4372" width="11.5703125" style="2" customWidth="1"/>
    <col min="4373" max="4373" width="15.140625" style="2" customWidth="1"/>
    <col min="4374" max="4374" width="11.85546875" style="2" customWidth="1"/>
    <col min="4375" max="4375" width="14" style="2" customWidth="1"/>
    <col min="4376" max="4611" width="11.42578125" style="2"/>
    <col min="4612" max="4612" width="38.7109375" style="2" customWidth="1"/>
    <col min="4613" max="4615" width="9.7109375" style="2" customWidth="1"/>
    <col min="4616" max="4617" width="0" style="2" hidden="1" customWidth="1"/>
    <col min="4618" max="4618" width="18.140625" style="2" customWidth="1"/>
    <col min="4619" max="4619" width="6.140625" style="2" customWidth="1"/>
    <col min="4620" max="4620" width="12.28515625" style="2" customWidth="1"/>
    <col min="4621" max="4621" width="0" style="2" hidden="1" customWidth="1"/>
    <col min="4622" max="4622" width="9.28515625" style="2" customWidth="1"/>
    <col min="4623" max="4625" width="11.5703125" style="2" customWidth="1"/>
    <col min="4626" max="4626" width="13.85546875" style="2" customWidth="1"/>
    <col min="4627" max="4628" width="11.5703125" style="2" customWidth="1"/>
    <col min="4629" max="4629" width="15.140625" style="2" customWidth="1"/>
    <col min="4630" max="4630" width="11.85546875" style="2" customWidth="1"/>
    <col min="4631" max="4631" width="14" style="2" customWidth="1"/>
    <col min="4632" max="4867" width="11.42578125" style="2"/>
    <col min="4868" max="4868" width="38.7109375" style="2" customWidth="1"/>
    <col min="4869" max="4871" width="9.7109375" style="2" customWidth="1"/>
    <col min="4872" max="4873" width="0" style="2" hidden="1" customWidth="1"/>
    <col min="4874" max="4874" width="18.140625" style="2" customWidth="1"/>
    <col min="4875" max="4875" width="6.140625" style="2" customWidth="1"/>
    <col min="4876" max="4876" width="12.28515625" style="2" customWidth="1"/>
    <col min="4877" max="4877" width="0" style="2" hidden="1" customWidth="1"/>
    <col min="4878" max="4878" width="9.28515625" style="2" customWidth="1"/>
    <col min="4879" max="4881" width="11.5703125" style="2" customWidth="1"/>
    <col min="4882" max="4882" width="13.85546875" style="2" customWidth="1"/>
    <col min="4883" max="4884" width="11.5703125" style="2" customWidth="1"/>
    <col min="4885" max="4885" width="15.140625" style="2" customWidth="1"/>
    <col min="4886" max="4886" width="11.85546875" style="2" customWidth="1"/>
    <col min="4887" max="4887" width="14" style="2" customWidth="1"/>
    <col min="4888" max="5123" width="11.42578125" style="2"/>
    <col min="5124" max="5124" width="38.7109375" style="2" customWidth="1"/>
    <col min="5125" max="5127" width="9.7109375" style="2" customWidth="1"/>
    <col min="5128" max="5129" width="0" style="2" hidden="1" customWidth="1"/>
    <col min="5130" max="5130" width="18.140625" style="2" customWidth="1"/>
    <col min="5131" max="5131" width="6.140625" style="2" customWidth="1"/>
    <col min="5132" max="5132" width="12.28515625" style="2" customWidth="1"/>
    <col min="5133" max="5133" width="0" style="2" hidden="1" customWidth="1"/>
    <col min="5134" max="5134" width="9.28515625" style="2" customWidth="1"/>
    <col min="5135" max="5137" width="11.5703125" style="2" customWidth="1"/>
    <col min="5138" max="5138" width="13.85546875" style="2" customWidth="1"/>
    <col min="5139" max="5140" width="11.5703125" style="2" customWidth="1"/>
    <col min="5141" max="5141" width="15.140625" style="2" customWidth="1"/>
    <col min="5142" max="5142" width="11.85546875" style="2" customWidth="1"/>
    <col min="5143" max="5143" width="14" style="2" customWidth="1"/>
    <col min="5144" max="5379" width="11.42578125" style="2"/>
    <col min="5380" max="5380" width="38.7109375" style="2" customWidth="1"/>
    <col min="5381" max="5383" width="9.7109375" style="2" customWidth="1"/>
    <col min="5384" max="5385" width="0" style="2" hidden="1" customWidth="1"/>
    <col min="5386" max="5386" width="18.140625" style="2" customWidth="1"/>
    <col min="5387" max="5387" width="6.140625" style="2" customWidth="1"/>
    <col min="5388" max="5388" width="12.28515625" style="2" customWidth="1"/>
    <col min="5389" max="5389" width="0" style="2" hidden="1" customWidth="1"/>
    <col min="5390" max="5390" width="9.28515625" style="2" customWidth="1"/>
    <col min="5391" max="5393" width="11.5703125" style="2" customWidth="1"/>
    <col min="5394" max="5394" width="13.85546875" style="2" customWidth="1"/>
    <col min="5395" max="5396" width="11.5703125" style="2" customWidth="1"/>
    <col min="5397" max="5397" width="15.140625" style="2" customWidth="1"/>
    <col min="5398" max="5398" width="11.85546875" style="2" customWidth="1"/>
    <col min="5399" max="5399" width="14" style="2" customWidth="1"/>
    <col min="5400" max="5635" width="11.42578125" style="2"/>
    <col min="5636" max="5636" width="38.7109375" style="2" customWidth="1"/>
    <col min="5637" max="5639" width="9.7109375" style="2" customWidth="1"/>
    <col min="5640" max="5641" width="0" style="2" hidden="1" customWidth="1"/>
    <col min="5642" max="5642" width="18.140625" style="2" customWidth="1"/>
    <col min="5643" max="5643" width="6.140625" style="2" customWidth="1"/>
    <col min="5644" max="5644" width="12.28515625" style="2" customWidth="1"/>
    <col min="5645" max="5645" width="0" style="2" hidden="1" customWidth="1"/>
    <col min="5646" max="5646" width="9.28515625" style="2" customWidth="1"/>
    <col min="5647" max="5649" width="11.5703125" style="2" customWidth="1"/>
    <col min="5650" max="5650" width="13.85546875" style="2" customWidth="1"/>
    <col min="5651" max="5652" width="11.5703125" style="2" customWidth="1"/>
    <col min="5653" max="5653" width="15.140625" style="2" customWidth="1"/>
    <col min="5654" max="5654" width="11.85546875" style="2" customWidth="1"/>
    <col min="5655" max="5655" width="14" style="2" customWidth="1"/>
    <col min="5656" max="5891" width="11.42578125" style="2"/>
    <col min="5892" max="5892" width="38.7109375" style="2" customWidth="1"/>
    <col min="5893" max="5895" width="9.7109375" style="2" customWidth="1"/>
    <col min="5896" max="5897" width="0" style="2" hidden="1" customWidth="1"/>
    <col min="5898" max="5898" width="18.140625" style="2" customWidth="1"/>
    <col min="5899" max="5899" width="6.140625" style="2" customWidth="1"/>
    <col min="5900" max="5900" width="12.28515625" style="2" customWidth="1"/>
    <col min="5901" max="5901" width="0" style="2" hidden="1" customWidth="1"/>
    <col min="5902" max="5902" width="9.28515625" style="2" customWidth="1"/>
    <col min="5903" max="5905" width="11.5703125" style="2" customWidth="1"/>
    <col min="5906" max="5906" width="13.85546875" style="2" customWidth="1"/>
    <col min="5907" max="5908" width="11.5703125" style="2" customWidth="1"/>
    <col min="5909" max="5909" width="15.140625" style="2" customWidth="1"/>
    <col min="5910" max="5910" width="11.85546875" style="2" customWidth="1"/>
    <col min="5911" max="5911" width="14" style="2" customWidth="1"/>
    <col min="5912" max="6147" width="11.42578125" style="2"/>
    <col min="6148" max="6148" width="38.7109375" style="2" customWidth="1"/>
    <col min="6149" max="6151" width="9.7109375" style="2" customWidth="1"/>
    <col min="6152" max="6153" width="0" style="2" hidden="1" customWidth="1"/>
    <col min="6154" max="6154" width="18.140625" style="2" customWidth="1"/>
    <col min="6155" max="6155" width="6.140625" style="2" customWidth="1"/>
    <col min="6156" max="6156" width="12.28515625" style="2" customWidth="1"/>
    <col min="6157" max="6157" width="0" style="2" hidden="1" customWidth="1"/>
    <col min="6158" max="6158" width="9.28515625" style="2" customWidth="1"/>
    <col min="6159" max="6161" width="11.5703125" style="2" customWidth="1"/>
    <col min="6162" max="6162" width="13.85546875" style="2" customWidth="1"/>
    <col min="6163" max="6164" width="11.5703125" style="2" customWidth="1"/>
    <col min="6165" max="6165" width="15.140625" style="2" customWidth="1"/>
    <col min="6166" max="6166" width="11.85546875" style="2" customWidth="1"/>
    <col min="6167" max="6167" width="14" style="2" customWidth="1"/>
    <col min="6168" max="6403" width="11.42578125" style="2"/>
    <col min="6404" max="6404" width="38.7109375" style="2" customWidth="1"/>
    <col min="6405" max="6407" width="9.7109375" style="2" customWidth="1"/>
    <col min="6408" max="6409" width="0" style="2" hidden="1" customWidth="1"/>
    <col min="6410" max="6410" width="18.140625" style="2" customWidth="1"/>
    <col min="6411" max="6411" width="6.140625" style="2" customWidth="1"/>
    <col min="6412" max="6412" width="12.28515625" style="2" customWidth="1"/>
    <col min="6413" max="6413" width="0" style="2" hidden="1" customWidth="1"/>
    <col min="6414" max="6414" width="9.28515625" style="2" customWidth="1"/>
    <col min="6415" max="6417" width="11.5703125" style="2" customWidth="1"/>
    <col min="6418" max="6418" width="13.85546875" style="2" customWidth="1"/>
    <col min="6419" max="6420" width="11.5703125" style="2" customWidth="1"/>
    <col min="6421" max="6421" width="15.140625" style="2" customWidth="1"/>
    <col min="6422" max="6422" width="11.85546875" style="2" customWidth="1"/>
    <col min="6423" max="6423" width="14" style="2" customWidth="1"/>
    <col min="6424" max="6659" width="11.42578125" style="2"/>
    <col min="6660" max="6660" width="38.7109375" style="2" customWidth="1"/>
    <col min="6661" max="6663" width="9.7109375" style="2" customWidth="1"/>
    <col min="6664" max="6665" width="0" style="2" hidden="1" customWidth="1"/>
    <col min="6666" max="6666" width="18.140625" style="2" customWidth="1"/>
    <col min="6667" max="6667" width="6.140625" style="2" customWidth="1"/>
    <col min="6668" max="6668" width="12.28515625" style="2" customWidth="1"/>
    <col min="6669" max="6669" width="0" style="2" hidden="1" customWidth="1"/>
    <col min="6670" max="6670" width="9.28515625" style="2" customWidth="1"/>
    <col min="6671" max="6673" width="11.5703125" style="2" customWidth="1"/>
    <col min="6674" max="6674" width="13.85546875" style="2" customWidth="1"/>
    <col min="6675" max="6676" width="11.5703125" style="2" customWidth="1"/>
    <col min="6677" max="6677" width="15.140625" style="2" customWidth="1"/>
    <col min="6678" max="6678" width="11.85546875" style="2" customWidth="1"/>
    <col min="6679" max="6679" width="14" style="2" customWidth="1"/>
    <col min="6680" max="6915" width="11.42578125" style="2"/>
    <col min="6916" max="6916" width="38.7109375" style="2" customWidth="1"/>
    <col min="6917" max="6919" width="9.7109375" style="2" customWidth="1"/>
    <col min="6920" max="6921" width="0" style="2" hidden="1" customWidth="1"/>
    <col min="6922" max="6922" width="18.140625" style="2" customWidth="1"/>
    <col min="6923" max="6923" width="6.140625" style="2" customWidth="1"/>
    <col min="6924" max="6924" width="12.28515625" style="2" customWidth="1"/>
    <col min="6925" max="6925" width="0" style="2" hidden="1" customWidth="1"/>
    <col min="6926" max="6926" width="9.28515625" style="2" customWidth="1"/>
    <col min="6927" max="6929" width="11.5703125" style="2" customWidth="1"/>
    <col min="6930" max="6930" width="13.85546875" style="2" customWidth="1"/>
    <col min="6931" max="6932" width="11.5703125" style="2" customWidth="1"/>
    <col min="6933" max="6933" width="15.140625" style="2" customWidth="1"/>
    <col min="6934" max="6934" width="11.85546875" style="2" customWidth="1"/>
    <col min="6935" max="6935" width="14" style="2" customWidth="1"/>
    <col min="6936" max="7171" width="11.42578125" style="2"/>
    <col min="7172" max="7172" width="38.7109375" style="2" customWidth="1"/>
    <col min="7173" max="7175" width="9.7109375" style="2" customWidth="1"/>
    <col min="7176" max="7177" width="0" style="2" hidden="1" customWidth="1"/>
    <col min="7178" max="7178" width="18.140625" style="2" customWidth="1"/>
    <col min="7179" max="7179" width="6.140625" style="2" customWidth="1"/>
    <col min="7180" max="7180" width="12.28515625" style="2" customWidth="1"/>
    <col min="7181" max="7181" width="0" style="2" hidden="1" customWidth="1"/>
    <col min="7182" max="7182" width="9.28515625" style="2" customWidth="1"/>
    <col min="7183" max="7185" width="11.5703125" style="2" customWidth="1"/>
    <col min="7186" max="7186" width="13.85546875" style="2" customWidth="1"/>
    <col min="7187" max="7188" width="11.5703125" style="2" customWidth="1"/>
    <col min="7189" max="7189" width="15.140625" style="2" customWidth="1"/>
    <col min="7190" max="7190" width="11.85546875" style="2" customWidth="1"/>
    <col min="7191" max="7191" width="14" style="2" customWidth="1"/>
    <col min="7192" max="7427" width="11.42578125" style="2"/>
    <col min="7428" max="7428" width="38.7109375" style="2" customWidth="1"/>
    <col min="7429" max="7431" width="9.7109375" style="2" customWidth="1"/>
    <col min="7432" max="7433" width="0" style="2" hidden="1" customWidth="1"/>
    <col min="7434" max="7434" width="18.140625" style="2" customWidth="1"/>
    <col min="7435" max="7435" width="6.140625" style="2" customWidth="1"/>
    <col min="7436" max="7436" width="12.28515625" style="2" customWidth="1"/>
    <col min="7437" max="7437" width="0" style="2" hidden="1" customWidth="1"/>
    <col min="7438" max="7438" width="9.28515625" style="2" customWidth="1"/>
    <col min="7439" max="7441" width="11.5703125" style="2" customWidth="1"/>
    <col min="7442" max="7442" width="13.85546875" style="2" customWidth="1"/>
    <col min="7443" max="7444" width="11.5703125" style="2" customWidth="1"/>
    <col min="7445" max="7445" width="15.140625" style="2" customWidth="1"/>
    <col min="7446" max="7446" width="11.85546875" style="2" customWidth="1"/>
    <col min="7447" max="7447" width="14" style="2" customWidth="1"/>
    <col min="7448" max="7683" width="11.42578125" style="2"/>
    <col min="7684" max="7684" width="38.7109375" style="2" customWidth="1"/>
    <col min="7685" max="7687" width="9.7109375" style="2" customWidth="1"/>
    <col min="7688" max="7689" width="0" style="2" hidden="1" customWidth="1"/>
    <col min="7690" max="7690" width="18.140625" style="2" customWidth="1"/>
    <col min="7691" max="7691" width="6.140625" style="2" customWidth="1"/>
    <col min="7692" max="7692" width="12.28515625" style="2" customWidth="1"/>
    <col min="7693" max="7693" width="0" style="2" hidden="1" customWidth="1"/>
    <col min="7694" max="7694" width="9.28515625" style="2" customWidth="1"/>
    <col min="7695" max="7697" width="11.5703125" style="2" customWidth="1"/>
    <col min="7698" max="7698" width="13.85546875" style="2" customWidth="1"/>
    <col min="7699" max="7700" width="11.5703125" style="2" customWidth="1"/>
    <col min="7701" max="7701" width="15.140625" style="2" customWidth="1"/>
    <col min="7702" max="7702" width="11.85546875" style="2" customWidth="1"/>
    <col min="7703" max="7703" width="14" style="2" customWidth="1"/>
    <col min="7704" max="7939" width="11.42578125" style="2"/>
    <col min="7940" max="7940" width="38.7109375" style="2" customWidth="1"/>
    <col min="7941" max="7943" width="9.7109375" style="2" customWidth="1"/>
    <col min="7944" max="7945" width="0" style="2" hidden="1" customWidth="1"/>
    <col min="7946" max="7946" width="18.140625" style="2" customWidth="1"/>
    <col min="7947" max="7947" width="6.140625" style="2" customWidth="1"/>
    <col min="7948" max="7948" width="12.28515625" style="2" customWidth="1"/>
    <col min="7949" max="7949" width="0" style="2" hidden="1" customWidth="1"/>
    <col min="7950" max="7950" width="9.28515625" style="2" customWidth="1"/>
    <col min="7951" max="7953" width="11.5703125" style="2" customWidth="1"/>
    <col min="7954" max="7954" width="13.85546875" style="2" customWidth="1"/>
    <col min="7955" max="7956" width="11.5703125" style="2" customWidth="1"/>
    <col min="7957" max="7957" width="15.140625" style="2" customWidth="1"/>
    <col min="7958" max="7958" width="11.85546875" style="2" customWidth="1"/>
    <col min="7959" max="7959" width="14" style="2" customWidth="1"/>
    <col min="7960" max="8195" width="11.42578125" style="2"/>
    <col min="8196" max="8196" width="38.7109375" style="2" customWidth="1"/>
    <col min="8197" max="8199" width="9.7109375" style="2" customWidth="1"/>
    <col min="8200" max="8201" width="0" style="2" hidden="1" customWidth="1"/>
    <col min="8202" max="8202" width="18.140625" style="2" customWidth="1"/>
    <col min="8203" max="8203" width="6.140625" style="2" customWidth="1"/>
    <col min="8204" max="8204" width="12.28515625" style="2" customWidth="1"/>
    <col min="8205" max="8205" width="0" style="2" hidden="1" customWidth="1"/>
    <col min="8206" max="8206" width="9.28515625" style="2" customWidth="1"/>
    <col min="8207" max="8209" width="11.5703125" style="2" customWidth="1"/>
    <col min="8210" max="8210" width="13.85546875" style="2" customWidth="1"/>
    <col min="8211" max="8212" width="11.5703125" style="2" customWidth="1"/>
    <col min="8213" max="8213" width="15.140625" style="2" customWidth="1"/>
    <col min="8214" max="8214" width="11.85546875" style="2" customWidth="1"/>
    <col min="8215" max="8215" width="14" style="2" customWidth="1"/>
    <col min="8216" max="8451" width="11.42578125" style="2"/>
    <col min="8452" max="8452" width="38.7109375" style="2" customWidth="1"/>
    <col min="8453" max="8455" width="9.7109375" style="2" customWidth="1"/>
    <col min="8456" max="8457" width="0" style="2" hidden="1" customWidth="1"/>
    <col min="8458" max="8458" width="18.140625" style="2" customWidth="1"/>
    <col min="8459" max="8459" width="6.140625" style="2" customWidth="1"/>
    <col min="8460" max="8460" width="12.28515625" style="2" customWidth="1"/>
    <col min="8461" max="8461" width="0" style="2" hidden="1" customWidth="1"/>
    <col min="8462" max="8462" width="9.28515625" style="2" customWidth="1"/>
    <col min="8463" max="8465" width="11.5703125" style="2" customWidth="1"/>
    <col min="8466" max="8466" width="13.85546875" style="2" customWidth="1"/>
    <col min="8467" max="8468" width="11.5703125" style="2" customWidth="1"/>
    <col min="8469" max="8469" width="15.140625" style="2" customWidth="1"/>
    <col min="8470" max="8470" width="11.85546875" style="2" customWidth="1"/>
    <col min="8471" max="8471" width="14" style="2" customWidth="1"/>
    <col min="8472" max="8707" width="11.42578125" style="2"/>
    <col min="8708" max="8708" width="38.7109375" style="2" customWidth="1"/>
    <col min="8709" max="8711" width="9.7109375" style="2" customWidth="1"/>
    <col min="8712" max="8713" width="0" style="2" hidden="1" customWidth="1"/>
    <col min="8714" max="8714" width="18.140625" style="2" customWidth="1"/>
    <col min="8715" max="8715" width="6.140625" style="2" customWidth="1"/>
    <col min="8716" max="8716" width="12.28515625" style="2" customWidth="1"/>
    <col min="8717" max="8717" width="0" style="2" hidden="1" customWidth="1"/>
    <col min="8718" max="8718" width="9.28515625" style="2" customWidth="1"/>
    <col min="8719" max="8721" width="11.5703125" style="2" customWidth="1"/>
    <col min="8722" max="8722" width="13.85546875" style="2" customWidth="1"/>
    <col min="8723" max="8724" width="11.5703125" style="2" customWidth="1"/>
    <col min="8725" max="8725" width="15.140625" style="2" customWidth="1"/>
    <col min="8726" max="8726" width="11.85546875" style="2" customWidth="1"/>
    <col min="8727" max="8727" width="14" style="2" customWidth="1"/>
    <col min="8728" max="8963" width="11.42578125" style="2"/>
    <col min="8964" max="8964" width="38.7109375" style="2" customWidth="1"/>
    <col min="8965" max="8967" width="9.7109375" style="2" customWidth="1"/>
    <col min="8968" max="8969" width="0" style="2" hidden="1" customWidth="1"/>
    <col min="8970" max="8970" width="18.140625" style="2" customWidth="1"/>
    <col min="8971" max="8971" width="6.140625" style="2" customWidth="1"/>
    <col min="8972" max="8972" width="12.28515625" style="2" customWidth="1"/>
    <col min="8973" max="8973" width="0" style="2" hidden="1" customWidth="1"/>
    <col min="8974" max="8974" width="9.28515625" style="2" customWidth="1"/>
    <col min="8975" max="8977" width="11.5703125" style="2" customWidth="1"/>
    <col min="8978" max="8978" width="13.85546875" style="2" customWidth="1"/>
    <col min="8979" max="8980" width="11.5703125" style="2" customWidth="1"/>
    <col min="8981" max="8981" width="15.140625" style="2" customWidth="1"/>
    <col min="8982" max="8982" width="11.85546875" style="2" customWidth="1"/>
    <col min="8983" max="8983" width="14" style="2" customWidth="1"/>
    <col min="8984" max="9219" width="11.42578125" style="2"/>
    <col min="9220" max="9220" width="38.7109375" style="2" customWidth="1"/>
    <col min="9221" max="9223" width="9.7109375" style="2" customWidth="1"/>
    <col min="9224" max="9225" width="0" style="2" hidden="1" customWidth="1"/>
    <col min="9226" max="9226" width="18.140625" style="2" customWidth="1"/>
    <col min="9227" max="9227" width="6.140625" style="2" customWidth="1"/>
    <col min="9228" max="9228" width="12.28515625" style="2" customWidth="1"/>
    <col min="9229" max="9229" width="0" style="2" hidden="1" customWidth="1"/>
    <col min="9230" max="9230" width="9.28515625" style="2" customWidth="1"/>
    <col min="9231" max="9233" width="11.5703125" style="2" customWidth="1"/>
    <col min="9234" max="9234" width="13.85546875" style="2" customWidth="1"/>
    <col min="9235" max="9236" width="11.5703125" style="2" customWidth="1"/>
    <col min="9237" max="9237" width="15.140625" style="2" customWidth="1"/>
    <col min="9238" max="9238" width="11.85546875" style="2" customWidth="1"/>
    <col min="9239" max="9239" width="14" style="2" customWidth="1"/>
    <col min="9240" max="9475" width="11.42578125" style="2"/>
    <col min="9476" max="9476" width="38.7109375" style="2" customWidth="1"/>
    <col min="9477" max="9479" width="9.7109375" style="2" customWidth="1"/>
    <col min="9480" max="9481" width="0" style="2" hidden="1" customWidth="1"/>
    <col min="9482" max="9482" width="18.140625" style="2" customWidth="1"/>
    <col min="9483" max="9483" width="6.140625" style="2" customWidth="1"/>
    <col min="9484" max="9484" width="12.28515625" style="2" customWidth="1"/>
    <col min="9485" max="9485" width="0" style="2" hidden="1" customWidth="1"/>
    <col min="9486" max="9486" width="9.28515625" style="2" customWidth="1"/>
    <col min="9487" max="9489" width="11.5703125" style="2" customWidth="1"/>
    <col min="9490" max="9490" width="13.85546875" style="2" customWidth="1"/>
    <col min="9491" max="9492" width="11.5703125" style="2" customWidth="1"/>
    <col min="9493" max="9493" width="15.140625" style="2" customWidth="1"/>
    <col min="9494" max="9494" width="11.85546875" style="2" customWidth="1"/>
    <col min="9495" max="9495" width="14" style="2" customWidth="1"/>
    <col min="9496" max="9731" width="11.42578125" style="2"/>
    <col min="9732" max="9732" width="38.7109375" style="2" customWidth="1"/>
    <col min="9733" max="9735" width="9.7109375" style="2" customWidth="1"/>
    <col min="9736" max="9737" width="0" style="2" hidden="1" customWidth="1"/>
    <col min="9738" max="9738" width="18.140625" style="2" customWidth="1"/>
    <col min="9739" max="9739" width="6.140625" style="2" customWidth="1"/>
    <col min="9740" max="9740" width="12.28515625" style="2" customWidth="1"/>
    <col min="9741" max="9741" width="0" style="2" hidden="1" customWidth="1"/>
    <col min="9742" max="9742" width="9.28515625" style="2" customWidth="1"/>
    <col min="9743" max="9745" width="11.5703125" style="2" customWidth="1"/>
    <col min="9746" max="9746" width="13.85546875" style="2" customWidth="1"/>
    <col min="9747" max="9748" width="11.5703125" style="2" customWidth="1"/>
    <col min="9749" max="9749" width="15.140625" style="2" customWidth="1"/>
    <col min="9750" max="9750" width="11.85546875" style="2" customWidth="1"/>
    <col min="9751" max="9751" width="14" style="2" customWidth="1"/>
    <col min="9752" max="9987" width="11.42578125" style="2"/>
    <col min="9988" max="9988" width="38.7109375" style="2" customWidth="1"/>
    <col min="9989" max="9991" width="9.7109375" style="2" customWidth="1"/>
    <col min="9992" max="9993" width="0" style="2" hidden="1" customWidth="1"/>
    <col min="9994" max="9994" width="18.140625" style="2" customWidth="1"/>
    <col min="9995" max="9995" width="6.140625" style="2" customWidth="1"/>
    <col min="9996" max="9996" width="12.28515625" style="2" customWidth="1"/>
    <col min="9997" max="9997" width="0" style="2" hidden="1" customWidth="1"/>
    <col min="9998" max="9998" width="9.28515625" style="2" customWidth="1"/>
    <col min="9999" max="10001" width="11.5703125" style="2" customWidth="1"/>
    <col min="10002" max="10002" width="13.85546875" style="2" customWidth="1"/>
    <col min="10003" max="10004" width="11.5703125" style="2" customWidth="1"/>
    <col min="10005" max="10005" width="15.140625" style="2" customWidth="1"/>
    <col min="10006" max="10006" width="11.85546875" style="2" customWidth="1"/>
    <col min="10007" max="10007" width="14" style="2" customWidth="1"/>
    <col min="10008" max="10243" width="11.42578125" style="2"/>
    <col min="10244" max="10244" width="38.7109375" style="2" customWidth="1"/>
    <col min="10245" max="10247" width="9.7109375" style="2" customWidth="1"/>
    <col min="10248" max="10249" width="0" style="2" hidden="1" customWidth="1"/>
    <col min="10250" max="10250" width="18.140625" style="2" customWidth="1"/>
    <col min="10251" max="10251" width="6.140625" style="2" customWidth="1"/>
    <col min="10252" max="10252" width="12.28515625" style="2" customWidth="1"/>
    <col min="10253" max="10253" width="0" style="2" hidden="1" customWidth="1"/>
    <col min="10254" max="10254" width="9.28515625" style="2" customWidth="1"/>
    <col min="10255" max="10257" width="11.5703125" style="2" customWidth="1"/>
    <col min="10258" max="10258" width="13.85546875" style="2" customWidth="1"/>
    <col min="10259" max="10260" width="11.5703125" style="2" customWidth="1"/>
    <col min="10261" max="10261" width="15.140625" style="2" customWidth="1"/>
    <col min="10262" max="10262" width="11.85546875" style="2" customWidth="1"/>
    <col min="10263" max="10263" width="14" style="2" customWidth="1"/>
    <col min="10264" max="10499" width="11.42578125" style="2"/>
    <col min="10500" max="10500" width="38.7109375" style="2" customWidth="1"/>
    <col min="10501" max="10503" width="9.7109375" style="2" customWidth="1"/>
    <col min="10504" max="10505" width="0" style="2" hidden="1" customWidth="1"/>
    <col min="10506" max="10506" width="18.140625" style="2" customWidth="1"/>
    <col min="10507" max="10507" width="6.140625" style="2" customWidth="1"/>
    <col min="10508" max="10508" width="12.28515625" style="2" customWidth="1"/>
    <col min="10509" max="10509" width="0" style="2" hidden="1" customWidth="1"/>
    <col min="10510" max="10510" width="9.28515625" style="2" customWidth="1"/>
    <col min="10511" max="10513" width="11.5703125" style="2" customWidth="1"/>
    <col min="10514" max="10514" width="13.85546875" style="2" customWidth="1"/>
    <col min="10515" max="10516" width="11.5703125" style="2" customWidth="1"/>
    <col min="10517" max="10517" width="15.140625" style="2" customWidth="1"/>
    <col min="10518" max="10518" width="11.85546875" style="2" customWidth="1"/>
    <col min="10519" max="10519" width="14" style="2" customWidth="1"/>
    <col min="10520" max="10755" width="11.42578125" style="2"/>
    <col min="10756" max="10756" width="38.7109375" style="2" customWidth="1"/>
    <col min="10757" max="10759" width="9.7109375" style="2" customWidth="1"/>
    <col min="10760" max="10761" width="0" style="2" hidden="1" customWidth="1"/>
    <col min="10762" max="10762" width="18.140625" style="2" customWidth="1"/>
    <col min="10763" max="10763" width="6.140625" style="2" customWidth="1"/>
    <col min="10764" max="10764" width="12.28515625" style="2" customWidth="1"/>
    <col min="10765" max="10765" width="0" style="2" hidden="1" customWidth="1"/>
    <col min="10766" max="10766" width="9.28515625" style="2" customWidth="1"/>
    <col min="10767" max="10769" width="11.5703125" style="2" customWidth="1"/>
    <col min="10770" max="10770" width="13.85546875" style="2" customWidth="1"/>
    <col min="10771" max="10772" width="11.5703125" style="2" customWidth="1"/>
    <col min="10773" max="10773" width="15.140625" style="2" customWidth="1"/>
    <col min="10774" max="10774" width="11.85546875" style="2" customWidth="1"/>
    <col min="10775" max="10775" width="14" style="2" customWidth="1"/>
    <col min="10776" max="11011" width="11.42578125" style="2"/>
    <col min="11012" max="11012" width="38.7109375" style="2" customWidth="1"/>
    <col min="11013" max="11015" width="9.7109375" style="2" customWidth="1"/>
    <col min="11016" max="11017" width="0" style="2" hidden="1" customWidth="1"/>
    <col min="11018" max="11018" width="18.140625" style="2" customWidth="1"/>
    <col min="11019" max="11019" width="6.140625" style="2" customWidth="1"/>
    <col min="11020" max="11020" width="12.28515625" style="2" customWidth="1"/>
    <col min="11021" max="11021" width="0" style="2" hidden="1" customWidth="1"/>
    <col min="11022" max="11022" width="9.28515625" style="2" customWidth="1"/>
    <col min="11023" max="11025" width="11.5703125" style="2" customWidth="1"/>
    <col min="11026" max="11026" width="13.85546875" style="2" customWidth="1"/>
    <col min="11027" max="11028" width="11.5703125" style="2" customWidth="1"/>
    <col min="11029" max="11029" width="15.140625" style="2" customWidth="1"/>
    <col min="11030" max="11030" width="11.85546875" style="2" customWidth="1"/>
    <col min="11031" max="11031" width="14" style="2" customWidth="1"/>
    <col min="11032" max="11267" width="11.42578125" style="2"/>
    <col min="11268" max="11268" width="38.7109375" style="2" customWidth="1"/>
    <col min="11269" max="11271" width="9.7109375" style="2" customWidth="1"/>
    <col min="11272" max="11273" width="0" style="2" hidden="1" customWidth="1"/>
    <col min="11274" max="11274" width="18.140625" style="2" customWidth="1"/>
    <col min="11275" max="11275" width="6.140625" style="2" customWidth="1"/>
    <col min="11276" max="11276" width="12.28515625" style="2" customWidth="1"/>
    <col min="11277" max="11277" width="0" style="2" hidden="1" customWidth="1"/>
    <col min="11278" max="11278" width="9.28515625" style="2" customWidth="1"/>
    <col min="11279" max="11281" width="11.5703125" style="2" customWidth="1"/>
    <col min="11282" max="11282" width="13.85546875" style="2" customWidth="1"/>
    <col min="11283" max="11284" width="11.5703125" style="2" customWidth="1"/>
    <col min="11285" max="11285" width="15.140625" style="2" customWidth="1"/>
    <col min="11286" max="11286" width="11.85546875" style="2" customWidth="1"/>
    <col min="11287" max="11287" width="14" style="2" customWidth="1"/>
    <col min="11288" max="11523" width="11.42578125" style="2"/>
    <col min="11524" max="11524" width="38.7109375" style="2" customWidth="1"/>
    <col min="11525" max="11527" width="9.7109375" style="2" customWidth="1"/>
    <col min="11528" max="11529" width="0" style="2" hidden="1" customWidth="1"/>
    <col min="11530" max="11530" width="18.140625" style="2" customWidth="1"/>
    <col min="11531" max="11531" width="6.140625" style="2" customWidth="1"/>
    <col min="11532" max="11532" width="12.28515625" style="2" customWidth="1"/>
    <col min="11533" max="11533" width="0" style="2" hidden="1" customWidth="1"/>
    <col min="11534" max="11534" width="9.28515625" style="2" customWidth="1"/>
    <col min="11535" max="11537" width="11.5703125" style="2" customWidth="1"/>
    <col min="11538" max="11538" width="13.85546875" style="2" customWidth="1"/>
    <col min="11539" max="11540" width="11.5703125" style="2" customWidth="1"/>
    <col min="11541" max="11541" width="15.140625" style="2" customWidth="1"/>
    <col min="11542" max="11542" width="11.85546875" style="2" customWidth="1"/>
    <col min="11543" max="11543" width="14" style="2" customWidth="1"/>
    <col min="11544" max="11779" width="11.42578125" style="2"/>
    <col min="11780" max="11780" width="38.7109375" style="2" customWidth="1"/>
    <col min="11781" max="11783" width="9.7109375" style="2" customWidth="1"/>
    <col min="11784" max="11785" width="0" style="2" hidden="1" customWidth="1"/>
    <col min="11786" max="11786" width="18.140625" style="2" customWidth="1"/>
    <col min="11787" max="11787" width="6.140625" style="2" customWidth="1"/>
    <col min="11788" max="11788" width="12.28515625" style="2" customWidth="1"/>
    <col min="11789" max="11789" width="0" style="2" hidden="1" customWidth="1"/>
    <col min="11790" max="11790" width="9.28515625" style="2" customWidth="1"/>
    <col min="11791" max="11793" width="11.5703125" style="2" customWidth="1"/>
    <col min="11794" max="11794" width="13.85546875" style="2" customWidth="1"/>
    <col min="11795" max="11796" width="11.5703125" style="2" customWidth="1"/>
    <col min="11797" max="11797" width="15.140625" style="2" customWidth="1"/>
    <col min="11798" max="11798" width="11.85546875" style="2" customWidth="1"/>
    <col min="11799" max="11799" width="14" style="2" customWidth="1"/>
    <col min="11800" max="12035" width="11.42578125" style="2"/>
    <col min="12036" max="12036" width="38.7109375" style="2" customWidth="1"/>
    <col min="12037" max="12039" width="9.7109375" style="2" customWidth="1"/>
    <col min="12040" max="12041" width="0" style="2" hidden="1" customWidth="1"/>
    <col min="12042" max="12042" width="18.140625" style="2" customWidth="1"/>
    <col min="12043" max="12043" width="6.140625" style="2" customWidth="1"/>
    <col min="12044" max="12044" width="12.28515625" style="2" customWidth="1"/>
    <col min="12045" max="12045" width="0" style="2" hidden="1" customWidth="1"/>
    <col min="12046" max="12046" width="9.28515625" style="2" customWidth="1"/>
    <col min="12047" max="12049" width="11.5703125" style="2" customWidth="1"/>
    <col min="12050" max="12050" width="13.85546875" style="2" customWidth="1"/>
    <col min="12051" max="12052" width="11.5703125" style="2" customWidth="1"/>
    <col min="12053" max="12053" width="15.140625" style="2" customWidth="1"/>
    <col min="12054" max="12054" width="11.85546875" style="2" customWidth="1"/>
    <col min="12055" max="12055" width="14" style="2" customWidth="1"/>
    <col min="12056" max="12291" width="11.42578125" style="2"/>
    <col min="12292" max="12292" width="38.7109375" style="2" customWidth="1"/>
    <col min="12293" max="12295" width="9.7109375" style="2" customWidth="1"/>
    <col min="12296" max="12297" width="0" style="2" hidden="1" customWidth="1"/>
    <col min="12298" max="12298" width="18.140625" style="2" customWidth="1"/>
    <col min="12299" max="12299" width="6.140625" style="2" customWidth="1"/>
    <col min="12300" max="12300" width="12.28515625" style="2" customWidth="1"/>
    <col min="12301" max="12301" width="0" style="2" hidden="1" customWidth="1"/>
    <col min="12302" max="12302" width="9.28515625" style="2" customWidth="1"/>
    <col min="12303" max="12305" width="11.5703125" style="2" customWidth="1"/>
    <col min="12306" max="12306" width="13.85546875" style="2" customWidth="1"/>
    <col min="12307" max="12308" width="11.5703125" style="2" customWidth="1"/>
    <col min="12309" max="12309" width="15.140625" style="2" customWidth="1"/>
    <col min="12310" max="12310" width="11.85546875" style="2" customWidth="1"/>
    <col min="12311" max="12311" width="14" style="2" customWidth="1"/>
    <col min="12312" max="12547" width="11.42578125" style="2"/>
    <col min="12548" max="12548" width="38.7109375" style="2" customWidth="1"/>
    <col min="12549" max="12551" width="9.7109375" style="2" customWidth="1"/>
    <col min="12552" max="12553" width="0" style="2" hidden="1" customWidth="1"/>
    <col min="12554" max="12554" width="18.140625" style="2" customWidth="1"/>
    <col min="12555" max="12555" width="6.140625" style="2" customWidth="1"/>
    <col min="12556" max="12556" width="12.28515625" style="2" customWidth="1"/>
    <col min="12557" max="12557" width="0" style="2" hidden="1" customWidth="1"/>
    <col min="12558" max="12558" width="9.28515625" style="2" customWidth="1"/>
    <col min="12559" max="12561" width="11.5703125" style="2" customWidth="1"/>
    <col min="12562" max="12562" width="13.85546875" style="2" customWidth="1"/>
    <col min="12563" max="12564" width="11.5703125" style="2" customWidth="1"/>
    <col min="12565" max="12565" width="15.140625" style="2" customWidth="1"/>
    <col min="12566" max="12566" width="11.85546875" style="2" customWidth="1"/>
    <col min="12567" max="12567" width="14" style="2" customWidth="1"/>
    <col min="12568" max="12803" width="11.42578125" style="2"/>
    <col min="12804" max="12804" width="38.7109375" style="2" customWidth="1"/>
    <col min="12805" max="12807" width="9.7109375" style="2" customWidth="1"/>
    <col min="12808" max="12809" width="0" style="2" hidden="1" customWidth="1"/>
    <col min="12810" max="12810" width="18.140625" style="2" customWidth="1"/>
    <col min="12811" max="12811" width="6.140625" style="2" customWidth="1"/>
    <col min="12812" max="12812" width="12.28515625" style="2" customWidth="1"/>
    <col min="12813" max="12813" width="0" style="2" hidden="1" customWidth="1"/>
    <col min="12814" max="12814" width="9.28515625" style="2" customWidth="1"/>
    <col min="12815" max="12817" width="11.5703125" style="2" customWidth="1"/>
    <col min="12818" max="12818" width="13.85546875" style="2" customWidth="1"/>
    <col min="12819" max="12820" width="11.5703125" style="2" customWidth="1"/>
    <col min="12821" max="12821" width="15.140625" style="2" customWidth="1"/>
    <col min="12822" max="12822" width="11.85546875" style="2" customWidth="1"/>
    <col min="12823" max="12823" width="14" style="2" customWidth="1"/>
    <col min="12824" max="13059" width="11.42578125" style="2"/>
    <col min="13060" max="13060" width="38.7109375" style="2" customWidth="1"/>
    <col min="13061" max="13063" width="9.7109375" style="2" customWidth="1"/>
    <col min="13064" max="13065" width="0" style="2" hidden="1" customWidth="1"/>
    <col min="13066" max="13066" width="18.140625" style="2" customWidth="1"/>
    <col min="13067" max="13067" width="6.140625" style="2" customWidth="1"/>
    <col min="13068" max="13068" width="12.28515625" style="2" customWidth="1"/>
    <col min="13069" max="13069" width="0" style="2" hidden="1" customWidth="1"/>
    <col min="13070" max="13070" width="9.28515625" style="2" customWidth="1"/>
    <col min="13071" max="13073" width="11.5703125" style="2" customWidth="1"/>
    <col min="13074" max="13074" width="13.85546875" style="2" customWidth="1"/>
    <col min="13075" max="13076" width="11.5703125" style="2" customWidth="1"/>
    <col min="13077" max="13077" width="15.140625" style="2" customWidth="1"/>
    <col min="13078" max="13078" width="11.85546875" style="2" customWidth="1"/>
    <col min="13079" max="13079" width="14" style="2" customWidth="1"/>
    <col min="13080" max="13315" width="11.42578125" style="2"/>
    <col min="13316" max="13316" width="38.7109375" style="2" customWidth="1"/>
    <col min="13317" max="13319" width="9.7109375" style="2" customWidth="1"/>
    <col min="13320" max="13321" width="0" style="2" hidden="1" customWidth="1"/>
    <col min="13322" max="13322" width="18.140625" style="2" customWidth="1"/>
    <col min="13323" max="13323" width="6.140625" style="2" customWidth="1"/>
    <col min="13324" max="13324" width="12.28515625" style="2" customWidth="1"/>
    <col min="13325" max="13325" width="0" style="2" hidden="1" customWidth="1"/>
    <col min="13326" max="13326" width="9.28515625" style="2" customWidth="1"/>
    <col min="13327" max="13329" width="11.5703125" style="2" customWidth="1"/>
    <col min="13330" max="13330" width="13.85546875" style="2" customWidth="1"/>
    <col min="13331" max="13332" width="11.5703125" style="2" customWidth="1"/>
    <col min="13333" max="13333" width="15.140625" style="2" customWidth="1"/>
    <col min="13334" max="13334" width="11.85546875" style="2" customWidth="1"/>
    <col min="13335" max="13335" width="14" style="2" customWidth="1"/>
    <col min="13336" max="13571" width="11.42578125" style="2"/>
    <col min="13572" max="13572" width="38.7109375" style="2" customWidth="1"/>
    <col min="13573" max="13575" width="9.7109375" style="2" customWidth="1"/>
    <col min="13576" max="13577" width="0" style="2" hidden="1" customWidth="1"/>
    <col min="13578" max="13578" width="18.140625" style="2" customWidth="1"/>
    <col min="13579" max="13579" width="6.140625" style="2" customWidth="1"/>
    <col min="13580" max="13580" width="12.28515625" style="2" customWidth="1"/>
    <col min="13581" max="13581" width="0" style="2" hidden="1" customWidth="1"/>
    <col min="13582" max="13582" width="9.28515625" style="2" customWidth="1"/>
    <col min="13583" max="13585" width="11.5703125" style="2" customWidth="1"/>
    <col min="13586" max="13586" width="13.85546875" style="2" customWidth="1"/>
    <col min="13587" max="13588" width="11.5703125" style="2" customWidth="1"/>
    <col min="13589" max="13589" width="15.140625" style="2" customWidth="1"/>
    <col min="13590" max="13590" width="11.85546875" style="2" customWidth="1"/>
    <col min="13591" max="13591" width="14" style="2" customWidth="1"/>
    <col min="13592" max="13827" width="11.42578125" style="2"/>
    <col min="13828" max="13828" width="38.7109375" style="2" customWidth="1"/>
    <col min="13829" max="13831" width="9.7109375" style="2" customWidth="1"/>
    <col min="13832" max="13833" width="0" style="2" hidden="1" customWidth="1"/>
    <col min="13834" max="13834" width="18.140625" style="2" customWidth="1"/>
    <col min="13835" max="13835" width="6.140625" style="2" customWidth="1"/>
    <col min="13836" max="13836" width="12.28515625" style="2" customWidth="1"/>
    <col min="13837" max="13837" width="0" style="2" hidden="1" customWidth="1"/>
    <col min="13838" max="13838" width="9.28515625" style="2" customWidth="1"/>
    <col min="13839" max="13841" width="11.5703125" style="2" customWidth="1"/>
    <col min="13842" max="13842" width="13.85546875" style="2" customWidth="1"/>
    <col min="13843" max="13844" width="11.5703125" style="2" customWidth="1"/>
    <col min="13845" max="13845" width="15.140625" style="2" customWidth="1"/>
    <col min="13846" max="13846" width="11.85546875" style="2" customWidth="1"/>
    <col min="13847" max="13847" width="14" style="2" customWidth="1"/>
    <col min="13848" max="14083" width="11.42578125" style="2"/>
    <col min="14084" max="14084" width="38.7109375" style="2" customWidth="1"/>
    <col min="14085" max="14087" width="9.7109375" style="2" customWidth="1"/>
    <col min="14088" max="14089" width="0" style="2" hidden="1" customWidth="1"/>
    <col min="14090" max="14090" width="18.140625" style="2" customWidth="1"/>
    <col min="14091" max="14091" width="6.140625" style="2" customWidth="1"/>
    <col min="14092" max="14092" width="12.28515625" style="2" customWidth="1"/>
    <col min="14093" max="14093" width="0" style="2" hidden="1" customWidth="1"/>
    <col min="14094" max="14094" width="9.28515625" style="2" customWidth="1"/>
    <col min="14095" max="14097" width="11.5703125" style="2" customWidth="1"/>
    <col min="14098" max="14098" width="13.85546875" style="2" customWidth="1"/>
    <col min="14099" max="14100" width="11.5703125" style="2" customWidth="1"/>
    <col min="14101" max="14101" width="15.140625" style="2" customWidth="1"/>
    <col min="14102" max="14102" width="11.85546875" style="2" customWidth="1"/>
    <col min="14103" max="14103" width="14" style="2" customWidth="1"/>
    <col min="14104" max="14339" width="11.42578125" style="2"/>
    <col min="14340" max="14340" width="38.7109375" style="2" customWidth="1"/>
    <col min="14341" max="14343" width="9.7109375" style="2" customWidth="1"/>
    <col min="14344" max="14345" width="0" style="2" hidden="1" customWidth="1"/>
    <col min="14346" max="14346" width="18.140625" style="2" customWidth="1"/>
    <col min="14347" max="14347" width="6.140625" style="2" customWidth="1"/>
    <col min="14348" max="14348" width="12.28515625" style="2" customWidth="1"/>
    <col min="14349" max="14349" width="0" style="2" hidden="1" customWidth="1"/>
    <col min="14350" max="14350" width="9.28515625" style="2" customWidth="1"/>
    <col min="14351" max="14353" width="11.5703125" style="2" customWidth="1"/>
    <col min="14354" max="14354" width="13.85546875" style="2" customWidth="1"/>
    <col min="14355" max="14356" width="11.5703125" style="2" customWidth="1"/>
    <col min="14357" max="14357" width="15.140625" style="2" customWidth="1"/>
    <col min="14358" max="14358" width="11.85546875" style="2" customWidth="1"/>
    <col min="14359" max="14359" width="14" style="2" customWidth="1"/>
    <col min="14360" max="14595" width="11.42578125" style="2"/>
    <col min="14596" max="14596" width="38.7109375" style="2" customWidth="1"/>
    <col min="14597" max="14599" width="9.7109375" style="2" customWidth="1"/>
    <col min="14600" max="14601" width="0" style="2" hidden="1" customWidth="1"/>
    <col min="14602" max="14602" width="18.140625" style="2" customWidth="1"/>
    <col min="14603" max="14603" width="6.140625" style="2" customWidth="1"/>
    <col min="14604" max="14604" width="12.28515625" style="2" customWidth="1"/>
    <col min="14605" max="14605" width="0" style="2" hidden="1" customWidth="1"/>
    <col min="14606" max="14606" width="9.28515625" style="2" customWidth="1"/>
    <col min="14607" max="14609" width="11.5703125" style="2" customWidth="1"/>
    <col min="14610" max="14610" width="13.85546875" style="2" customWidth="1"/>
    <col min="14611" max="14612" width="11.5703125" style="2" customWidth="1"/>
    <col min="14613" max="14613" width="15.140625" style="2" customWidth="1"/>
    <col min="14614" max="14614" width="11.85546875" style="2" customWidth="1"/>
    <col min="14615" max="14615" width="14" style="2" customWidth="1"/>
    <col min="14616" max="14851" width="11.42578125" style="2"/>
    <col min="14852" max="14852" width="38.7109375" style="2" customWidth="1"/>
    <col min="14853" max="14855" width="9.7109375" style="2" customWidth="1"/>
    <col min="14856" max="14857" width="0" style="2" hidden="1" customWidth="1"/>
    <col min="14858" max="14858" width="18.140625" style="2" customWidth="1"/>
    <col min="14859" max="14859" width="6.140625" style="2" customWidth="1"/>
    <col min="14860" max="14860" width="12.28515625" style="2" customWidth="1"/>
    <col min="14861" max="14861" width="0" style="2" hidden="1" customWidth="1"/>
    <col min="14862" max="14862" width="9.28515625" style="2" customWidth="1"/>
    <col min="14863" max="14865" width="11.5703125" style="2" customWidth="1"/>
    <col min="14866" max="14866" width="13.85546875" style="2" customWidth="1"/>
    <col min="14867" max="14868" width="11.5703125" style="2" customWidth="1"/>
    <col min="14869" max="14869" width="15.140625" style="2" customWidth="1"/>
    <col min="14870" max="14870" width="11.85546875" style="2" customWidth="1"/>
    <col min="14871" max="14871" width="14" style="2" customWidth="1"/>
    <col min="14872" max="15107" width="11.42578125" style="2"/>
    <col min="15108" max="15108" width="38.7109375" style="2" customWidth="1"/>
    <col min="15109" max="15111" width="9.7109375" style="2" customWidth="1"/>
    <col min="15112" max="15113" width="0" style="2" hidden="1" customWidth="1"/>
    <col min="15114" max="15114" width="18.140625" style="2" customWidth="1"/>
    <col min="15115" max="15115" width="6.140625" style="2" customWidth="1"/>
    <col min="15116" max="15116" width="12.28515625" style="2" customWidth="1"/>
    <col min="15117" max="15117" width="0" style="2" hidden="1" customWidth="1"/>
    <col min="15118" max="15118" width="9.28515625" style="2" customWidth="1"/>
    <col min="15119" max="15121" width="11.5703125" style="2" customWidth="1"/>
    <col min="15122" max="15122" width="13.85546875" style="2" customWidth="1"/>
    <col min="15123" max="15124" width="11.5703125" style="2" customWidth="1"/>
    <col min="15125" max="15125" width="15.140625" style="2" customWidth="1"/>
    <col min="15126" max="15126" width="11.85546875" style="2" customWidth="1"/>
    <col min="15127" max="15127" width="14" style="2" customWidth="1"/>
    <col min="15128" max="15363" width="11.42578125" style="2"/>
    <col min="15364" max="15364" width="38.7109375" style="2" customWidth="1"/>
    <col min="15365" max="15367" width="9.7109375" style="2" customWidth="1"/>
    <col min="15368" max="15369" width="0" style="2" hidden="1" customWidth="1"/>
    <col min="15370" max="15370" width="18.140625" style="2" customWidth="1"/>
    <col min="15371" max="15371" width="6.140625" style="2" customWidth="1"/>
    <col min="15372" max="15372" width="12.28515625" style="2" customWidth="1"/>
    <col min="15373" max="15373" width="0" style="2" hidden="1" customWidth="1"/>
    <col min="15374" max="15374" width="9.28515625" style="2" customWidth="1"/>
    <col min="15375" max="15377" width="11.5703125" style="2" customWidth="1"/>
    <col min="15378" max="15378" width="13.85546875" style="2" customWidth="1"/>
    <col min="15379" max="15380" width="11.5703125" style="2" customWidth="1"/>
    <col min="15381" max="15381" width="15.140625" style="2" customWidth="1"/>
    <col min="15382" max="15382" width="11.85546875" style="2" customWidth="1"/>
    <col min="15383" max="15383" width="14" style="2" customWidth="1"/>
    <col min="15384" max="15619" width="11.42578125" style="2"/>
    <col min="15620" max="15620" width="38.7109375" style="2" customWidth="1"/>
    <col min="15621" max="15623" width="9.7109375" style="2" customWidth="1"/>
    <col min="15624" max="15625" width="0" style="2" hidden="1" customWidth="1"/>
    <col min="15626" max="15626" width="18.140625" style="2" customWidth="1"/>
    <col min="15627" max="15627" width="6.140625" style="2" customWidth="1"/>
    <col min="15628" max="15628" width="12.28515625" style="2" customWidth="1"/>
    <col min="15629" max="15629" width="0" style="2" hidden="1" customWidth="1"/>
    <col min="15630" max="15630" width="9.28515625" style="2" customWidth="1"/>
    <col min="15631" max="15633" width="11.5703125" style="2" customWidth="1"/>
    <col min="15634" max="15634" width="13.85546875" style="2" customWidth="1"/>
    <col min="15635" max="15636" width="11.5703125" style="2" customWidth="1"/>
    <col min="15637" max="15637" width="15.140625" style="2" customWidth="1"/>
    <col min="15638" max="15638" width="11.85546875" style="2" customWidth="1"/>
    <col min="15639" max="15639" width="14" style="2" customWidth="1"/>
    <col min="15640" max="15875" width="11.42578125" style="2"/>
    <col min="15876" max="15876" width="38.7109375" style="2" customWidth="1"/>
    <col min="15877" max="15879" width="9.7109375" style="2" customWidth="1"/>
    <col min="15880" max="15881" width="0" style="2" hidden="1" customWidth="1"/>
    <col min="15882" max="15882" width="18.140625" style="2" customWidth="1"/>
    <col min="15883" max="15883" width="6.140625" style="2" customWidth="1"/>
    <col min="15884" max="15884" width="12.28515625" style="2" customWidth="1"/>
    <col min="15885" max="15885" width="0" style="2" hidden="1" customWidth="1"/>
    <col min="15886" max="15886" width="9.28515625" style="2" customWidth="1"/>
    <col min="15887" max="15889" width="11.5703125" style="2" customWidth="1"/>
    <col min="15890" max="15890" width="13.85546875" style="2" customWidth="1"/>
    <col min="15891" max="15892" width="11.5703125" style="2" customWidth="1"/>
    <col min="15893" max="15893" width="15.140625" style="2" customWidth="1"/>
    <col min="15894" max="15894" width="11.85546875" style="2" customWidth="1"/>
    <col min="15895" max="15895" width="14" style="2" customWidth="1"/>
    <col min="15896" max="16131" width="11.42578125" style="2"/>
    <col min="16132" max="16132" width="38.7109375" style="2" customWidth="1"/>
    <col min="16133" max="16135" width="9.7109375" style="2" customWidth="1"/>
    <col min="16136" max="16137" width="0" style="2" hidden="1" customWidth="1"/>
    <col min="16138" max="16138" width="18.140625" style="2" customWidth="1"/>
    <col min="16139" max="16139" width="6.140625" style="2" customWidth="1"/>
    <col min="16140" max="16140" width="12.28515625" style="2" customWidth="1"/>
    <col min="16141" max="16141" width="0" style="2" hidden="1" customWidth="1"/>
    <col min="16142" max="16142" width="9.28515625" style="2" customWidth="1"/>
    <col min="16143" max="16145" width="11.5703125" style="2" customWidth="1"/>
    <col min="16146" max="16146" width="13.85546875" style="2" customWidth="1"/>
    <col min="16147" max="16148" width="11.5703125" style="2" customWidth="1"/>
    <col min="16149" max="16149" width="15.140625" style="2" customWidth="1"/>
    <col min="16150" max="16150" width="11.85546875" style="2" customWidth="1"/>
    <col min="16151" max="16151" width="14" style="2" customWidth="1"/>
    <col min="16152" max="16384" width="11.42578125" style="2"/>
  </cols>
  <sheetData>
    <row r="1" spans="1:27" ht="26.25" x14ac:dyDescent="0.4">
      <c r="A1" s="75" t="s">
        <v>19</v>
      </c>
      <c r="W1" s="953" t="s">
        <v>413</v>
      </c>
    </row>
    <row r="2" spans="1:27" s="27" customFormat="1" ht="26.25" x14ac:dyDescent="0.4">
      <c r="A2" s="75" t="s">
        <v>20</v>
      </c>
      <c r="E2" s="72"/>
      <c r="F2" s="72"/>
      <c r="G2" s="72"/>
      <c r="H2" s="72"/>
      <c r="I2" s="72"/>
      <c r="J2" s="72"/>
      <c r="K2" s="28"/>
      <c r="M2" s="29"/>
      <c r="N2" s="28"/>
      <c r="O2" s="57"/>
      <c r="Q2" s="29"/>
      <c r="U2" s="1014"/>
      <c r="V2" s="1014" t="s">
        <v>415</v>
      </c>
      <c r="W2" s="1093">
        <f>'ЛАЙТ Рязань'!V2</f>
        <v>4</v>
      </c>
    </row>
    <row r="3" spans="1:27" s="27" customFormat="1" ht="26.25" x14ac:dyDescent="0.4">
      <c r="A3" s="2" t="s">
        <v>466</v>
      </c>
      <c r="E3" s="72"/>
      <c r="F3" s="72"/>
      <c r="G3" s="72"/>
      <c r="H3" s="72"/>
      <c r="I3" s="72"/>
      <c r="J3" s="72"/>
      <c r="K3" s="28"/>
      <c r="M3" s="29"/>
      <c r="N3" s="28"/>
      <c r="O3" s="57"/>
      <c r="Q3" s="29"/>
      <c r="U3" s="1014"/>
      <c r="V3" s="1014" t="s">
        <v>416</v>
      </c>
      <c r="W3" s="1094">
        <f>'ЛАЙТ Рязань'!V3</f>
        <v>4</v>
      </c>
    </row>
    <row r="4" spans="1:27" x14ac:dyDescent="0.25">
      <c r="A4" s="1248" t="s">
        <v>707</v>
      </c>
      <c r="B4" s="1248"/>
      <c r="C4" s="1248"/>
      <c r="D4" s="1248"/>
      <c r="E4" s="1248"/>
      <c r="F4" s="1248"/>
      <c r="G4" s="1248"/>
      <c r="H4" s="1248"/>
      <c r="I4" s="1248"/>
      <c r="J4" s="1248"/>
      <c r="K4" s="1248"/>
      <c r="L4" s="1248"/>
      <c r="M4" s="1248"/>
      <c r="N4" s="1248"/>
      <c r="O4" s="1248"/>
      <c r="P4" s="1248"/>
      <c r="Q4" s="1248"/>
      <c r="R4" s="1248"/>
      <c r="S4" s="1248"/>
      <c r="T4" s="1248"/>
      <c r="U4" s="1095"/>
      <c r="V4" s="1096"/>
    </row>
    <row r="5" spans="1:27" ht="18.75" thickBot="1" x14ac:dyDescent="0.3">
      <c r="A5" s="6" t="s">
        <v>708</v>
      </c>
      <c r="B5" s="7"/>
      <c r="C5" s="7"/>
      <c r="D5" s="7"/>
      <c r="E5" s="73"/>
      <c r="F5" s="73"/>
      <c r="G5" s="73"/>
      <c r="H5" s="73"/>
      <c r="I5" s="73"/>
      <c r="J5" s="73"/>
      <c r="K5" s="7"/>
      <c r="L5" s="7"/>
      <c r="M5" s="7"/>
      <c r="N5" s="67"/>
      <c r="O5" s="58"/>
      <c r="P5" s="7"/>
      <c r="Q5" s="7"/>
      <c r="R5" s="1115">
        <f>'КРОВЛЯ Рязань'!$Q$5</f>
        <v>67</v>
      </c>
      <c r="S5" s="1018">
        <f>INDEX('Доставка по областям'!$C$2:$D$90,'ЛАЙТ Рязань'!$Q$5,1)</f>
        <v>40</v>
      </c>
      <c r="T5" s="1018">
        <f>INDEX('Доставка по областям'!$C$2:$D$90,'ЛАЙТ Рязань'!$Q$5,2)</f>
        <v>64</v>
      </c>
      <c r="U5" s="1095"/>
      <c r="V5" s="1098" t="s">
        <v>412</v>
      </c>
      <c r="W5" s="1099">
        <f>IF($W$2&lt;4,INDEX('Доставка по областям'!$J$54:$J$57,W2)+INDEX('Доставка по областям'!$J$58:$J$61,$W$3),0)</f>
        <v>0</v>
      </c>
    </row>
    <row r="6" spans="1:27" ht="72.75" customHeight="1" thickBot="1" x14ac:dyDescent="0.3">
      <c r="A6" s="1285" t="s">
        <v>0</v>
      </c>
      <c r="B6" s="1287" t="s">
        <v>1</v>
      </c>
      <c r="C6" s="1289" t="s">
        <v>2</v>
      </c>
      <c r="D6" s="1291" t="s">
        <v>3</v>
      </c>
      <c r="E6" s="1293" t="s">
        <v>56</v>
      </c>
      <c r="F6" s="673"/>
      <c r="G6" s="1293" t="s">
        <v>133</v>
      </c>
      <c r="H6" s="1293" t="s">
        <v>36</v>
      </c>
      <c r="I6" s="1293" t="s">
        <v>56</v>
      </c>
      <c r="J6" s="1293" t="s">
        <v>56</v>
      </c>
      <c r="K6" s="1279" t="s">
        <v>49</v>
      </c>
      <c r="L6" s="1280"/>
      <c r="M6" s="1281"/>
      <c r="N6" s="1282" t="s">
        <v>48</v>
      </c>
      <c r="O6" s="1283"/>
      <c r="P6" s="1279" t="s">
        <v>44</v>
      </c>
      <c r="Q6" s="1281"/>
      <c r="R6" s="1279" t="s">
        <v>340</v>
      </c>
      <c r="S6" s="1280"/>
      <c r="T6" s="1281"/>
      <c r="U6" s="1100" t="str">
        <f>INDEX('Доставка по областям'!$G$2:$G$90,'ПОЛЫ Рязань'!$R$5)</f>
        <v>Завод 'ТЕХНО' г.Рязань</v>
      </c>
      <c r="W6" s="745" t="s">
        <v>414</v>
      </c>
    </row>
    <row r="7" spans="1:27" ht="38.25" customHeight="1" thickBot="1" x14ac:dyDescent="0.3">
      <c r="A7" s="1286"/>
      <c r="B7" s="1288"/>
      <c r="C7" s="1290"/>
      <c r="D7" s="1292"/>
      <c r="E7" s="1294"/>
      <c r="F7" s="674"/>
      <c r="G7" s="1294"/>
      <c r="H7" s="1294"/>
      <c r="I7" s="1294"/>
      <c r="J7" s="1294"/>
      <c r="K7" s="675" t="s">
        <v>5</v>
      </c>
      <c r="L7" s="676" t="s">
        <v>17</v>
      </c>
      <c r="M7" s="677" t="s">
        <v>18</v>
      </c>
      <c r="N7" s="678" t="s">
        <v>47</v>
      </c>
      <c r="O7" s="679" t="s">
        <v>18</v>
      </c>
      <c r="P7" s="680" t="s">
        <v>43</v>
      </c>
      <c r="Q7" s="681" t="s">
        <v>42</v>
      </c>
      <c r="R7" s="682" t="s">
        <v>6</v>
      </c>
      <c r="S7" s="683" t="s">
        <v>18</v>
      </c>
      <c r="T7" s="684" t="s">
        <v>22</v>
      </c>
      <c r="W7" s="1101" t="str">
        <f>INDEX('Доставка по областям'!$J$2:$J$53,VLOOKUP(ПолыDDP!A3,'Доставка по областям'!$A$2:$F$90,6,0))</f>
        <v>Рязанская</v>
      </c>
    </row>
    <row r="8" spans="1:27" ht="20.100000000000001" customHeight="1" thickBot="1" x14ac:dyDescent="0.3">
      <c r="A8" s="35" t="s">
        <v>467</v>
      </c>
      <c r="B8" s="252">
        <v>1200</v>
      </c>
      <c r="C8" s="250">
        <v>600</v>
      </c>
      <c r="D8" s="251">
        <v>50</v>
      </c>
      <c r="E8" s="278"/>
      <c r="F8" s="278"/>
      <c r="G8" s="685">
        <v>404567</v>
      </c>
      <c r="H8" s="686" t="s">
        <v>339</v>
      </c>
      <c r="I8" s="177">
        <f>IF(H8="C",ROUNDUP(10000/90/ПолыDDP!O8,0)*ПолыDDP!O8," ")</f>
        <v>117.504</v>
      </c>
      <c r="J8" s="176"/>
      <c r="K8" s="311">
        <v>6</v>
      </c>
      <c r="L8" s="323">
        <v>4.32</v>
      </c>
      <c r="M8" s="327">
        <v>0.216</v>
      </c>
      <c r="N8" s="281">
        <v>32</v>
      </c>
      <c r="O8" s="283">
        <v>6.9119999999999999</v>
      </c>
      <c r="P8" s="229">
        <v>76.031999999999996</v>
      </c>
      <c r="Q8" s="321"/>
      <c r="R8" s="687">
        <f>M8*S8</f>
        <v>886.89599999999996</v>
      </c>
      <c r="S8" s="224">
        <v>4106</v>
      </c>
      <c r="T8" s="688">
        <f t="shared" ref="T8:T20" si="0">S8*D8/1000</f>
        <v>205.3</v>
      </c>
      <c r="U8" s="745" t="s">
        <v>741</v>
      </c>
      <c r="W8" s="953">
        <f>IF($W$2&lt;4,SUMIFS(РегСкидка!$C$3:$C$619,РегСкидка!$D$3:$D$619,INDEX('Доставка по областям'!$G$2:$G$90,'ПОЛЫ Рязань'!$R$5),РегСкидка!$B$3:$B$619,U8,РегСкидка!$E$3:$E$619,$W$7)/100*IF(OR($W$3=1,$W$3=2,$W$3=3,$W$3=4),1,0),0)</f>
        <v>0</v>
      </c>
      <c r="X8" s="1230"/>
      <c r="Y8" s="4"/>
      <c r="Z8" s="1234"/>
      <c r="AA8" s="82"/>
    </row>
    <row r="9" spans="1:27" ht="20.100000000000001" customHeight="1" thickBot="1" x14ac:dyDescent="0.3">
      <c r="A9" s="689" t="s">
        <v>468</v>
      </c>
      <c r="B9" s="203">
        <v>1200</v>
      </c>
      <c r="C9" s="204">
        <v>600</v>
      </c>
      <c r="D9" s="209">
        <v>60</v>
      </c>
      <c r="E9" s="263">
        <v>125</v>
      </c>
      <c r="F9" s="263">
        <v>18.08449074074074</v>
      </c>
      <c r="G9" s="690">
        <v>404568</v>
      </c>
      <c r="H9" s="686" t="s">
        <v>339</v>
      </c>
      <c r="I9" s="177">
        <f>IF(H9="C",ROUNDUP(10000/90/ПолыDDP!O9,0)*ПолыDDP!O9," ")</f>
        <v>117.504</v>
      </c>
      <c r="J9" s="177">
        <v>393.98400000000004</v>
      </c>
      <c r="K9" s="97">
        <v>5</v>
      </c>
      <c r="L9" s="691">
        <v>3.6</v>
      </c>
      <c r="M9" s="692">
        <v>0.216</v>
      </c>
      <c r="N9" s="97">
        <v>32</v>
      </c>
      <c r="O9" s="126">
        <v>6.9119999999999999</v>
      </c>
      <c r="P9" s="231">
        <v>76.031999999999996</v>
      </c>
      <c r="Q9" s="266"/>
      <c r="R9" s="687">
        <f t="shared" ref="R9:R31" si="1">M9*S9</f>
        <v>886.89599999999996</v>
      </c>
      <c r="S9" s="224">
        <v>4106</v>
      </c>
      <c r="T9" s="688">
        <f t="shared" si="0"/>
        <v>246.36</v>
      </c>
      <c r="U9" s="745" t="s">
        <v>741</v>
      </c>
      <c r="W9" s="953">
        <f>IF($W$2&lt;4,SUMIFS(РегСкидка!$C$3:$C$619,РегСкидка!$D$3:$D$619,INDEX('Доставка по областям'!$G$2:$G$90,'ПОЛЫ Рязань'!$R$5),РегСкидка!$B$3:$B$619,U9,РегСкидка!$E$3:$E$619,$W$7)/100*IF(OR($W$3=1,$W$3=2,$W$3=3,$W$3=4),1,0),0)</f>
        <v>0</v>
      </c>
      <c r="X9" s="1230"/>
      <c r="Y9" s="4"/>
      <c r="Z9" s="1234"/>
      <c r="AA9" s="82"/>
    </row>
    <row r="10" spans="1:27" ht="20.100000000000001" customHeight="1" thickBot="1" x14ac:dyDescent="0.3">
      <c r="A10" s="693"/>
      <c r="B10" s="203">
        <v>1200</v>
      </c>
      <c r="C10" s="204">
        <v>600</v>
      </c>
      <c r="D10" s="209">
        <v>70</v>
      </c>
      <c r="E10" s="263">
        <v>125</v>
      </c>
      <c r="F10" s="263">
        <v>19.376240079365079</v>
      </c>
      <c r="G10" s="690">
        <v>404571</v>
      </c>
      <c r="H10" s="686" t="s">
        <v>339</v>
      </c>
      <c r="I10" s="177">
        <f>IF(H10="C",ROUNDUP(10000/90/ПолыDDP!O10,0)*ПолыDDP!O10," ")</f>
        <v>116.1216</v>
      </c>
      <c r="J10" s="177">
        <v>387.072</v>
      </c>
      <c r="K10" s="97">
        <v>4</v>
      </c>
      <c r="L10" s="166">
        <v>2.88</v>
      </c>
      <c r="M10" s="169">
        <v>0.2016</v>
      </c>
      <c r="N10" s="97">
        <v>32</v>
      </c>
      <c r="O10" s="126">
        <v>6.4512</v>
      </c>
      <c r="P10" s="231">
        <v>70.963200000000001</v>
      </c>
      <c r="Q10" s="266"/>
      <c r="R10" s="687">
        <f t="shared" si="1"/>
        <v>827.76959999999997</v>
      </c>
      <c r="S10" s="224">
        <v>4106</v>
      </c>
      <c r="T10" s="688">
        <f t="shared" si="0"/>
        <v>287.42</v>
      </c>
      <c r="U10" s="745" t="s">
        <v>741</v>
      </c>
      <c r="W10" s="953">
        <f>IF($W$2&lt;4,SUMIFS(РегСкидка!$C$3:$C$619,РегСкидка!$D$3:$D$619,INDEX('Доставка по областям'!$G$2:$G$90,'ПОЛЫ Рязань'!$R$5),РегСкидка!$B$3:$B$619,U10,РегСкидка!$E$3:$E$619,$W$7)/100*IF(OR($W$3=1,$W$3=2,$W$3=3,$W$3=4),1,0),0)</f>
        <v>0</v>
      </c>
      <c r="X10" s="1230"/>
      <c r="Y10" s="4"/>
      <c r="Z10" s="1234"/>
      <c r="AA10" s="82"/>
    </row>
    <row r="11" spans="1:27" ht="20.100000000000001" customHeight="1" thickBot="1" x14ac:dyDescent="0.3">
      <c r="A11" s="693"/>
      <c r="B11" s="203">
        <v>1200</v>
      </c>
      <c r="C11" s="204">
        <v>600</v>
      </c>
      <c r="D11" s="209">
        <v>80</v>
      </c>
      <c r="E11" s="263"/>
      <c r="F11" s="263">
        <v>0</v>
      </c>
      <c r="G11" s="690">
        <v>404576</v>
      </c>
      <c r="H11" s="686" t="s">
        <v>339</v>
      </c>
      <c r="I11" s="177">
        <f>IF(H11="C",ROUNDUP(10000/90/ПолыDDP!O11,0)*ПолыDDP!O11," ")</f>
        <v>117.50399999999999</v>
      </c>
      <c r="J11" s="177"/>
      <c r="K11" s="97">
        <v>5</v>
      </c>
      <c r="L11" s="166">
        <v>3.6</v>
      </c>
      <c r="M11" s="169">
        <v>0.28799999999999998</v>
      </c>
      <c r="N11" s="97">
        <v>24</v>
      </c>
      <c r="O11" s="126">
        <v>6.911999999999999</v>
      </c>
      <c r="P11" s="231">
        <v>76.031999999999982</v>
      </c>
      <c r="Q11" s="266"/>
      <c r="R11" s="687">
        <f t="shared" si="1"/>
        <v>1182.528</v>
      </c>
      <c r="S11" s="224">
        <v>4106</v>
      </c>
      <c r="T11" s="688">
        <f t="shared" si="0"/>
        <v>328.48</v>
      </c>
      <c r="U11" s="745" t="s">
        <v>741</v>
      </c>
      <c r="W11" s="953">
        <f>IF($W$2&lt;4,SUMIFS(РегСкидка!$C$3:$C$619,РегСкидка!$D$3:$D$619,INDEX('Доставка по областям'!$G$2:$G$90,'ПОЛЫ Рязань'!$R$5),РегСкидка!$B$3:$B$619,U11,РегСкидка!$E$3:$E$619,$W$7)/100*IF(OR($W$3=1,$W$3=2,$W$3=3,$W$3=4),1,0),0)</f>
        <v>0</v>
      </c>
      <c r="X11" s="1230"/>
      <c r="Y11" s="4"/>
      <c r="Z11" s="1234"/>
      <c r="AA11" s="82"/>
    </row>
    <row r="12" spans="1:27" ht="20.100000000000001" customHeight="1" thickBot="1" x14ac:dyDescent="0.3">
      <c r="A12" s="693"/>
      <c r="B12" s="203">
        <v>1200</v>
      </c>
      <c r="C12" s="204">
        <v>600</v>
      </c>
      <c r="D12" s="209">
        <v>90</v>
      </c>
      <c r="E12" s="263">
        <v>125</v>
      </c>
      <c r="F12" s="263">
        <v>20.093878600823047</v>
      </c>
      <c r="G12" s="690">
        <v>404578</v>
      </c>
      <c r="H12" s="686" t="s">
        <v>339</v>
      </c>
      <c r="I12" s="177">
        <f>IF(H12="C",ROUNDUP(10000/90/ПолыDDP!O12,0)*ПолыDDP!O12," ")</f>
        <v>111.97439999999999</v>
      </c>
      <c r="J12" s="177">
        <v>391.91039999999998</v>
      </c>
      <c r="K12" s="97">
        <v>4</v>
      </c>
      <c r="L12" s="166">
        <v>2.88</v>
      </c>
      <c r="M12" s="169">
        <v>0.25919999999999999</v>
      </c>
      <c r="N12" s="97">
        <v>24</v>
      </c>
      <c r="O12" s="126">
        <v>6.2207999999999997</v>
      </c>
      <c r="P12" s="231">
        <v>68.428799999999995</v>
      </c>
      <c r="Q12" s="266"/>
      <c r="R12" s="687">
        <f t="shared" si="1"/>
        <v>1064.2752</v>
      </c>
      <c r="S12" s="224">
        <v>4106</v>
      </c>
      <c r="T12" s="688">
        <f t="shared" si="0"/>
        <v>369.54</v>
      </c>
      <c r="U12" s="745" t="s">
        <v>741</v>
      </c>
      <c r="W12" s="953">
        <f>IF($W$2&lt;4,SUMIFS(РегСкидка!$C$3:$C$619,РегСкидка!$D$3:$D$619,INDEX('Доставка по областям'!$G$2:$G$90,'ПОЛЫ Рязань'!$R$5),РегСкидка!$B$3:$B$619,U12,РегСкидка!$E$3:$E$619,$W$7)/100*IF(OR($W$3=1,$W$3=2,$W$3=3,$W$3=4),1,0),0)</f>
        <v>0</v>
      </c>
      <c r="X12" s="1230"/>
      <c r="Y12" s="4"/>
      <c r="Z12" s="1234"/>
      <c r="AA12" s="82"/>
    </row>
    <row r="13" spans="1:27" ht="20.100000000000001" customHeight="1" thickBot="1" x14ac:dyDescent="0.3">
      <c r="A13" s="693"/>
      <c r="B13" s="203">
        <v>1200</v>
      </c>
      <c r="C13" s="204">
        <v>600</v>
      </c>
      <c r="D13" s="209">
        <v>100</v>
      </c>
      <c r="E13" s="263"/>
      <c r="F13" s="263">
        <v>0</v>
      </c>
      <c r="G13" s="690">
        <v>404579</v>
      </c>
      <c r="H13" s="686" t="s">
        <v>339</v>
      </c>
      <c r="I13" s="177">
        <f>IF(H13="C",ROUNDUP(10000/90/ПолыDDP!O13,0)*ПолыDDP!O13," ")</f>
        <v>117.50399999999999</v>
      </c>
      <c r="J13" s="177"/>
      <c r="K13" s="97">
        <v>4</v>
      </c>
      <c r="L13" s="166">
        <v>2.88</v>
      </c>
      <c r="M13" s="169">
        <v>0.28799999999999998</v>
      </c>
      <c r="N13" s="97">
        <v>24</v>
      </c>
      <c r="O13" s="126">
        <v>6.9119999999999999</v>
      </c>
      <c r="P13" s="231">
        <v>76.031999999999996</v>
      </c>
      <c r="Q13" s="266"/>
      <c r="R13" s="687">
        <f t="shared" si="1"/>
        <v>1182.528</v>
      </c>
      <c r="S13" s="224">
        <v>4106</v>
      </c>
      <c r="T13" s="688">
        <f t="shared" si="0"/>
        <v>410.6</v>
      </c>
      <c r="U13" s="745" t="s">
        <v>741</v>
      </c>
      <c r="W13" s="953">
        <f>IF($W$2&lt;4,SUMIFS(РегСкидка!$C$3:$C$619,РегСкидка!$D$3:$D$619,INDEX('Доставка по областям'!$G$2:$G$90,'ПОЛЫ Рязань'!$R$5),РегСкидка!$B$3:$B$619,U13,РегСкидка!$E$3:$E$619,$W$7)/100*IF(OR($W$3=1,$W$3=2,$W$3=3,$W$3=4),1,0),0)</f>
        <v>0</v>
      </c>
      <c r="X13" s="1230"/>
      <c r="Y13" s="4"/>
      <c r="Z13" s="1234"/>
      <c r="AA13" s="82"/>
    </row>
    <row r="14" spans="1:27" ht="20.100000000000001" customHeight="1" thickBot="1" x14ac:dyDescent="0.3">
      <c r="A14" s="693"/>
      <c r="B14" s="203">
        <v>1200</v>
      </c>
      <c r="C14" s="204">
        <v>600</v>
      </c>
      <c r="D14" s="209">
        <v>110</v>
      </c>
      <c r="E14" s="263">
        <v>125</v>
      </c>
      <c r="F14" s="263">
        <v>18.789081289081288</v>
      </c>
      <c r="G14" s="690">
        <v>404587</v>
      </c>
      <c r="H14" s="686" t="s">
        <v>339</v>
      </c>
      <c r="I14" s="177">
        <f>IF(H14="C",ROUNDUP(10000/90/ПолыDDP!O14,0)*ПолыDDP!O14," ")</f>
        <v>113.09760000000001</v>
      </c>
      <c r="J14" s="177">
        <v>379.20960000000002</v>
      </c>
      <c r="K14" s="97">
        <v>3</v>
      </c>
      <c r="L14" s="166">
        <v>2.16</v>
      </c>
      <c r="M14" s="169">
        <v>0.23760000000000003</v>
      </c>
      <c r="N14" s="97">
        <v>28</v>
      </c>
      <c r="O14" s="126">
        <v>6.6528000000000009</v>
      </c>
      <c r="P14" s="231">
        <v>73.180800000000005</v>
      </c>
      <c r="Q14" s="266"/>
      <c r="R14" s="687">
        <f t="shared" si="1"/>
        <v>975.58560000000011</v>
      </c>
      <c r="S14" s="224">
        <v>4106</v>
      </c>
      <c r="T14" s="688">
        <f t="shared" si="0"/>
        <v>451.66</v>
      </c>
      <c r="U14" s="745" t="s">
        <v>741</v>
      </c>
      <c r="W14" s="953">
        <f>IF($W$2&lt;4,SUMIFS(РегСкидка!$C$3:$C$619,РегСкидка!$D$3:$D$619,INDEX('Доставка по областям'!$G$2:$G$90,'ПОЛЫ Рязань'!$R$5),РегСкидка!$B$3:$B$619,U14,РегСкидка!$E$3:$E$619,$W$7)/100*IF(OR($W$3=1,$W$3=2,$W$3=3,$W$3=4),1,0),0)</f>
        <v>0</v>
      </c>
      <c r="X14" s="1230"/>
      <c r="Y14" s="4"/>
      <c r="Z14" s="1234"/>
      <c r="AA14" s="82"/>
    </row>
    <row r="15" spans="1:27" ht="20.100000000000001" customHeight="1" thickBot="1" x14ac:dyDescent="0.3">
      <c r="A15" s="693"/>
      <c r="B15" s="203">
        <v>1200</v>
      </c>
      <c r="C15" s="204">
        <v>600</v>
      </c>
      <c r="D15" s="209">
        <v>120</v>
      </c>
      <c r="E15" s="263">
        <v>125</v>
      </c>
      <c r="F15" s="263">
        <v>20.093878600823043</v>
      </c>
      <c r="G15" s="690">
        <v>404589</v>
      </c>
      <c r="H15" s="686" t="s">
        <v>339</v>
      </c>
      <c r="I15" s="177">
        <f>IF(H15="C",ROUNDUP(10000/90/ПолыDDP!O15,0)*ПолыDDP!O15," ")</f>
        <v>111.9744</v>
      </c>
      <c r="J15" s="177">
        <v>391.9104000000001</v>
      </c>
      <c r="K15" s="97">
        <v>3</v>
      </c>
      <c r="L15" s="166">
        <v>2.16</v>
      </c>
      <c r="M15" s="169">
        <v>0.25920000000000004</v>
      </c>
      <c r="N15" s="97">
        <v>24</v>
      </c>
      <c r="O15" s="126">
        <v>6.2208000000000006</v>
      </c>
      <c r="P15" s="231">
        <v>68.42880000000001</v>
      </c>
      <c r="Q15" s="266"/>
      <c r="R15" s="687">
        <f t="shared" si="1"/>
        <v>1064.2752000000003</v>
      </c>
      <c r="S15" s="224">
        <v>4106</v>
      </c>
      <c r="T15" s="688">
        <f t="shared" si="0"/>
        <v>492.72</v>
      </c>
      <c r="U15" s="745" t="s">
        <v>741</v>
      </c>
      <c r="W15" s="953">
        <f>IF($W$2&lt;4,SUMIFS(РегСкидка!$C$3:$C$619,РегСкидка!$D$3:$D$619,INDEX('Доставка по областям'!$G$2:$G$90,'ПОЛЫ Рязань'!$R$5),РегСкидка!$B$3:$B$619,U15,РегСкидка!$E$3:$E$619,$W$7)/100*IF(OR($W$3=1,$W$3=2,$W$3=3,$W$3=4),1,0),0)</f>
        <v>0</v>
      </c>
      <c r="X15" s="1230"/>
      <c r="Y15" s="4"/>
      <c r="Z15" s="1234"/>
      <c r="AA15" s="82"/>
    </row>
    <row r="16" spans="1:27" ht="20.100000000000001" customHeight="1" thickBot="1" x14ac:dyDescent="0.3">
      <c r="A16" s="693"/>
      <c r="B16" s="203">
        <v>1200</v>
      </c>
      <c r="C16" s="204">
        <v>600</v>
      </c>
      <c r="D16" s="209">
        <v>130</v>
      </c>
      <c r="E16" s="263">
        <v>125</v>
      </c>
      <c r="F16" s="263">
        <v>18.548195631528966</v>
      </c>
      <c r="G16" s="690">
        <v>404592</v>
      </c>
      <c r="H16" s="686" t="s">
        <v>339</v>
      </c>
      <c r="I16" s="177">
        <f>IF(H16="C",ROUNDUP(10000/90/ПолыDDP!O16,0)*ПолыDDP!O16," ")</f>
        <v>114.56639999999999</v>
      </c>
      <c r="J16" s="177">
        <v>384.13439999999991</v>
      </c>
      <c r="K16" s="97">
        <v>2</v>
      </c>
      <c r="L16" s="166">
        <v>1.44</v>
      </c>
      <c r="M16" s="169">
        <v>0.18719999999999998</v>
      </c>
      <c r="N16" s="97">
        <v>36</v>
      </c>
      <c r="O16" s="126">
        <v>6.7391999999999994</v>
      </c>
      <c r="P16" s="231">
        <v>74.131199999999993</v>
      </c>
      <c r="Q16" s="266"/>
      <c r="R16" s="687">
        <f t="shared" si="1"/>
        <v>768.64319999999987</v>
      </c>
      <c r="S16" s="224">
        <v>4106</v>
      </c>
      <c r="T16" s="688">
        <f t="shared" si="0"/>
        <v>533.78</v>
      </c>
      <c r="U16" s="745" t="s">
        <v>741</v>
      </c>
      <c r="W16" s="953">
        <f>IF($W$2&lt;4,SUMIFS(РегСкидка!$C$3:$C$619,РегСкидка!$D$3:$D$619,INDEX('Доставка по областям'!$G$2:$G$90,'ПОЛЫ Рязань'!$R$5),РегСкидка!$B$3:$B$619,U16,РегСкидка!$E$3:$E$619,$W$7)/100*IF(OR($W$3=1,$W$3=2,$W$3=3,$W$3=4),1,0),0)</f>
        <v>0</v>
      </c>
      <c r="X16" s="1230"/>
      <c r="Y16" s="4"/>
      <c r="Z16" s="1234"/>
      <c r="AA16" s="82"/>
    </row>
    <row r="17" spans="1:27" ht="20.100000000000001" customHeight="1" thickBot="1" x14ac:dyDescent="0.3">
      <c r="A17" s="693"/>
      <c r="B17" s="203">
        <v>1200</v>
      </c>
      <c r="C17" s="204">
        <v>600</v>
      </c>
      <c r="D17" s="209">
        <v>140</v>
      </c>
      <c r="E17" s="263">
        <v>125</v>
      </c>
      <c r="F17" s="263">
        <v>19.376240079365079</v>
      </c>
      <c r="G17" s="690">
        <v>404593</v>
      </c>
      <c r="H17" s="686" t="s">
        <v>339</v>
      </c>
      <c r="I17" s="177">
        <f>IF(H17="C",ROUNDUP(10000/90/ПолыDDP!O17,0)*ПолыDDP!O17," ")</f>
        <v>116.1216</v>
      </c>
      <c r="J17" s="177">
        <v>387.072</v>
      </c>
      <c r="K17" s="97">
        <v>2</v>
      </c>
      <c r="L17" s="166">
        <v>1.44</v>
      </c>
      <c r="M17" s="169">
        <v>0.2016</v>
      </c>
      <c r="N17" s="97">
        <v>32</v>
      </c>
      <c r="O17" s="126">
        <v>6.4512</v>
      </c>
      <c r="P17" s="231">
        <v>70.963200000000001</v>
      </c>
      <c r="Q17" s="266"/>
      <c r="R17" s="687">
        <f t="shared" si="1"/>
        <v>827.76959999999997</v>
      </c>
      <c r="S17" s="224">
        <v>4106</v>
      </c>
      <c r="T17" s="688">
        <f t="shared" si="0"/>
        <v>574.84</v>
      </c>
      <c r="U17" s="745" t="s">
        <v>741</v>
      </c>
      <c r="W17" s="953">
        <f>IF($W$2&lt;4,SUMIFS(РегСкидка!$C$3:$C$619,РегСкидка!$D$3:$D$619,INDEX('Доставка по областям'!$G$2:$G$90,'ПОЛЫ Рязань'!$R$5),РегСкидка!$B$3:$B$619,U17,РегСкидка!$E$3:$E$619,$W$7)/100*IF(OR($W$3=1,$W$3=2,$W$3=3,$W$3=4),1,0),0)</f>
        <v>0</v>
      </c>
      <c r="X17" s="1230"/>
      <c r="Y17" s="4"/>
      <c r="Z17" s="1234"/>
      <c r="AA17" s="82"/>
    </row>
    <row r="18" spans="1:27" ht="20.100000000000001" customHeight="1" thickBot="1" x14ac:dyDescent="0.3">
      <c r="A18" s="693"/>
      <c r="B18" s="203">
        <v>1200</v>
      </c>
      <c r="C18" s="204">
        <v>600</v>
      </c>
      <c r="D18" s="209">
        <v>150</v>
      </c>
      <c r="E18" s="263">
        <v>125</v>
      </c>
      <c r="F18" s="263">
        <v>18.08449074074074</v>
      </c>
      <c r="G18" s="690">
        <v>404594</v>
      </c>
      <c r="H18" s="686" t="s">
        <v>339</v>
      </c>
      <c r="I18" s="177">
        <f>IF(H18="C",ROUNDUP(10000/90/ПолыDDP!O18,0)*ПолыDDP!O18," ")</f>
        <v>117.504</v>
      </c>
      <c r="J18" s="177">
        <v>393.98400000000004</v>
      </c>
      <c r="K18" s="97">
        <v>2</v>
      </c>
      <c r="L18" s="166">
        <v>1.44</v>
      </c>
      <c r="M18" s="169">
        <v>0.216</v>
      </c>
      <c r="N18" s="97">
        <v>32</v>
      </c>
      <c r="O18" s="126">
        <v>6.9119999999999999</v>
      </c>
      <c r="P18" s="231">
        <v>76.031999999999996</v>
      </c>
      <c r="Q18" s="266"/>
      <c r="R18" s="687">
        <f t="shared" si="1"/>
        <v>886.89599999999996</v>
      </c>
      <c r="S18" s="224">
        <v>4106</v>
      </c>
      <c r="T18" s="688">
        <f t="shared" si="0"/>
        <v>615.9</v>
      </c>
      <c r="U18" s="745" t="s">
        <v>741</v>
      </c>
      <c r="W18" s="953">
        <f>IF($W$2&lt;4,SUMIFS(РегСкидка!$C$3:$C$619,РегСкидка!$D$3:$D$619,INDEX('Доставка по областям'!$G$2:$G$90,'ПОЛЫ Рязань'!$R$5),РегСкидка!$B$3:$B$619,U18,РегСкидка!$E$3:$E$619,$W$7)/100*IF(OR($W$3=1,$W$3=2,$W$3=3,$W$3=4),1,0),0)</f>
        <v>0</v>
      </c>
      <c r="X18" s="1230"/>
      <c r="Y18" s="4"/>
      <c r="Z18" s="1234"/>
      <c r="AA18" s="82"/>
    </row>
    <row r="19" spans="1:27" ht="20.100000000000001" customHeight="1" thickBot="1" x14ac:dyDescent="0.3">
      <c r="A19" s="693"/>
      <c r="B19" s="203">
        <v>1200</v>
      </c>
      <c r="C19" s="204">
        <v>600</v>
      </c>
      <c r="D19" s="209">
        <v>160</v>
      </c>
      <c r="E19" s="263">
        <v>125</v>
      </c>
      <c r="F19" s="263">
        <v>19.376240079365083</v>
      </c>
      <c r="G19" s="690">
        <v>404595</v>
      </c>
      <c r="H19" s="686" t="s">
        <v>339</v>
      </c>
      <c r="I19" s="177">
        <f>IF(H19="C",ROUNDUP(10000/90/ПолыDDP!O19,0)*ПолыDDP!O19," ")</f>
        <v>116.12159999999999</v>
      </c>
      <c r="J19" s="177">
        <v>387.07199999999989</v>
      </c>
      <c r="K19" s="97">
        <v>2</v>
      </c>
      <c r="L19" s="166">
        <v>1.44</v>
      </c>
      <c r="M19" s="169">
        <v>0.23039999999999997</v>
      </c>
      <c r="N19" s="97">
        <v>28</v>
      </c>
      <c r="O19" s="126">
        <v>6.4511999999999992</v>
      </c>
      <c r="P19" s="231">
        <v>70.963199999999986</v>
      </c>
      <c r="Q19" s="266"/>
      <c r="R19" s="687">
        <f t="shared" si="1"/>
        <v>946.02239999999983</v>
      </c>
      <c r="S19" s="224">
        <v>4106</v>
      </c>
      <c r="T19" s="688">
        <f t="shared" si="0"/>
        <v>656.96</v>
      </c>
      <c r="U19" s="745" t="s">
        <v>741</v>
      </c>
      <c r="W19" s="953">
        <f>IF($W$2&lt;4,SUMIFS(РегСкидка!$C$3:$C$619,РегСкидка!$D$3:$D$619,INDEX('Доставка по областям'!$G$2:$G$90,'ПОЛЫ Рязань'!$R$5),РегСкидка!$B$3:$B$619,U19,РегСкидка!$E$3:$E$619,$W$7)/100*IF(OR($W$3=1,$W$3=2,$W$3=3,$W$3=4),1,0),0)</f>
        <v>0</v>
      </c>
      <c r="X19" s="1230"/>
      <c r="Y19" s="4"/>
      <c r="Z19" s="1234"/>
      <c r="AA19" s="82"/>
    </row>
    <row r="20" spans="1:27" ht="20.100000000000001" customHeight="1" thickBot="1" x14ac:dyDescent="0.3">
      <c r="A20" s="693"/>
      <c r="B20" s="203">
        <v>1200</v>
      </c>
      <c r="C20" s="204">
        <v>600</v>
      </c>
      <c r="D20" s="209">
        <v>170</v>
      </c>
      <c r="E20" s="263">
        <v>125</v>
      </c>
      <c r="F20" s="263">
        <v>18.236461251167132</v>
      </c>
      <c r="G20" s="690">
        <v>404596</v>
      </c>
      <c r="H20" s="686" t="s">
        <v>339</v>
      </c>
      <c r="I20" s="177">
        <f>IF(H20="C",ROUNDUP(10000/90/ПолыDDP!O20,0)*ПолыDDP!O20," ")</f>
        <v>116.5248</v>
      </c>
      <c r="J20" s="177">
        <v>390.70079999999996</v>
      </c>
      <c r="K20" s="97">
        <v>2</v>
      </c>
      <c r="L20" s="166">
        <v>1.44</v>
      </c>
      <c r="M20" s="169">
        <v>0.24479999999999999</v>
      </c>
      <c r="N20" s="97">
        <v>28</v>
      </c>
      <c r="O20" s="126">
        <v>6.8544</v>
      </c>
      <c r="P20" s="231">
        <v>75.398399999999995</v>
      </c>
      <c r="Q20" s="266"/>
      <c r="R20" s="687">
        <f t="shared" si="1"/>
        <v>1005.1487999999999</v>
      </c>
      <c r="S20" s="224">
        <v>4106</v>
      </c>
      <c r="T20" s="688">
        <f t="shared" si="0"/>
        <v>698.02</v>
      </c>
      <c r="U20" s="745" t="s">
        <v>741</v>
      </c>
      <c r="W20" s="953">
        <f>IF($W$2&lt;4,SUMIFS(РегСкидка!$C$3:$C$619,РегСкидка!$D$3:$D$619,INDEX('Доставка по областям'!$G$2:$G$90,'ПОЛЫ Рязань'!$R$5),РегСкидка!$B$3:$B$619,U20,РегСкидка!$E$3:$E$619,$W$7)/100*IF(OR($W$3=1,$W$3=2,$W$3=3,$W$3=4),1,0),0)</f>
        <v>0</v>
      </c>
      <c r="X20" s="1230"/>
      <c r="Y20" s="4"/>
      <c r="Z20" s="1234"/>
      <c r="AA20" s="82"/>
    </row>
    <row r="21" spans="1:27" ht="33.75" customHeight="1" thickBot="1" x14ac:dyDescent="0.3">
      <c r="A21" s="693"/>
      <c r="B21" s="203">
        <v>1200</v>
      </c>
      <c r="C21" s="204">
        <v>600</v>
      </c>
      <c r="D21" s="209">
        <v>180</v>
      </c>
      <c r="E21" s="263">
        <v>125</v>
      </c>
      <c r="F21" s="263">
        <v>20.093878600823047</v>
      </c>
      <c r="G21" s="690">
        <v>403509</v>
      </c>
      <c r="H21" s="686" t="s">
        <v>339</v>
      </c>
      <c r="I21" s="177">
        <f>IF(H21="C",ROUNDUP(10000/90/ПолыDDP!O21,0)*ПолыDDP!O21," ")</f>
        <v>111.97439999999999</v>
      </c>
      <c r="J21" s="177">
        <v>391.91039999999998</v>
      </c>
      <c r="K21" s="97">
        <v>2</v>
      </c>
      <c r="L21" s="166">
        <v>1.44</v>
      </c>
      <c r="M21" s="169">
        <v>0.25919999999999999</v>
      </c>
      <c r="N21" s="97">
        <v>24</v>
      </c>
      <c r="O21" s="126">
        <v>6.2207999999999997</v>
      </c>
      <c r="P21" s="231">
        <v>68.428799999999995</v>
      </c>
      <c r="Q21" s="266"/>
      <c r="R21" s="687">
        <f t="shared" si="1"/>
        <v>1064.2752</v>
      </c>
      <c r="S21" s="224">
        <v>4106</v>
      </c>
      <c r="T21" s="688">
        <v>185.66749999999993</v>
      </c>
      <c r="U21" s="745" t="s">
        <v>741</v>
      </c>
      <c r="W21" s="953">
        <f>IF($W$2&lt;4,SUMIFS(РегСкидка!$C$3:$C$619,РегСкидка!$D$3:$D$619,INDEX('Доставка по областям'!$G$2:$G$90,'ПОЛЫ Рязань'!$R$5),РегСкидка!$B$3:$B$619,U21,РегСкидка!$E$3:$E$619,$W$7)/100*IF(OR($W$3=1,$W$3=2,$W$3=3,$W$3=4),1,0),0)</f>
        <v>0</v>
      </c>
      <c r="X21" s="1230"/>
      <c r="Y21" s="4"/>
      <c r="Z21" s="1234"/>
      <c r="AA21" s="82"/>
    </row>
    <row r="22" spans="1:27" ht="20.100000000000001" customHeight="1" thickBot="1" x14ac:dyDescent="0.3">
      <c r="A22" s="694"/>
      <c r="B22" s="203">
        <v>1200</v>
      </c>
      <c r="C22" s="204">
        <v>600</v>
      </c>
      <c r="D22" s="209">
        <v>190</v>
      </c>
      <c r="E22" s="263">
        <v>125</v>
      </c>
      <c r="F22" s="263">
        <v>19.036306042884995</v>
      </c>
      <c r="G22" s="690">
        <v>404599</v>
      </c>
      <c r="H22" s="686" t="s">
        <v>339</v>
      </c>
      <c r="I22" s="177">
        <f>IF(H22="C",ROUNDUP(10000/90/ПолыDDP!O22,0)*ПолыDDP!O22," ")</f>
        <v>111.62879999999998</v>
      </c>
      <c r="J22" s="177">
        <v>413.68319999999994</v>
      </c>
      <c r="K22" s="97">
        <v>2</v>
      </c>
      <c r="L22" s="166">
        <v>1.44</v>
      </c>
      <c r="M22" s="169">
        <v>0.27359999999999995</v>
      </c>
      <c r="N22" s="97">
        <v>24</v>
      </c>
      <c r="O22" s="126">
        <v>6.5663999999999989</v>
      </c>
      <c r="P22" s="231">
        <v>72.230399999999989</v>
      </c>
      <c r="Q22" s="266"/>
      <c r="R22" s="687">
        <f t="shared" si="1"/>
        <v>1123.4015999999999</v>
      </c>
      <c r="S22" s="224">
        <v>4106</v>
      </c>
      <c r="T22" s="688">
        <f t="shared" ref="T22:T31" si="2">S22*D22/1000</f>
        <v>780.14</v>
      </c>
      <c r="U22" s="745" t="s">
        <v>741</v>
      </c>
      <c r="W22" s="953">
        <f>IF($W$2&lt;4,SUMIFS(РегСкидка!$C$3:$C$619,РегСкидка!$D$3:$D$619,INDEX('Доставка по областям'!$G$2:$G$90,'ПОЛЫ Рязань'!$R$5),РегСкидка!$B$3:$B$619,U22,РегСкидка!$E$3:$E$619,$W$7)/100*IF(OR($W$3=1,$W$3=2,$W$3=3,$W$3=4),1,0),0)</f>
        <v>0</v>
      </c>
      <c r="X22" s="1230"/>
      <c r="Y22" s="4"/>
      <c r="Z22" s="1234"/>
      <c r="AA22" s="82"/>
    </row>
    <row r="23" spans="1:27" ht="20.100000000000001" customHeight="1" thickBot="1" x14ac:dyDescent="0.3">
      <c r="A23" s="694"/>
      <c r="B23" s="240">
        <v>1200</v>
      </c>
      <c r="C23" s="241">
        <v>600</v>
      </c>
      <c r="D23" s="242">
        <v>200</v>
      </c>
      <c r="E23" s="263">
        <v>125</v>
      </c>
      <c r="F23" s="289">
        <v>18.084490740740744</v>
      </c>
      <c r="G23" s="695">
        <v>404600</v>
      </c>
      <c r="H23" s="686" t="s">
        <v>339</v>
      </c>
      <c r="I23" s="445">
        <f>IF(H23="C",ROUNDUP(10000/90/ПолыDDP!O23,0)*ПолыDDP!O23," ")</f>
        <v>117.50399999999999</v>
      </c>
      <c r="J23" s="445">
        <v>435.45599999999996</v>
      </c>
      <c r="K23" s="306">
        <v>2</v>
      </c>
      <c r="L23" s="167">
        <v>1.44</v>
      </c>
      <c r="M23" s="307">
        <v>0.28799999999999998</v>
      </c>
      <c r="N23" s="306">
        <v>24</v>
      </c>
      <c r="O23" s="129">
        <v>6.911999999999999</v>
      </c>
      <c r="P23" s="260">
        <v>76.031999999999982</v>
      </c>
      <c r="Q23" s="308"/>
      <c r="R23" s="696">
        <f t="shared" si="1"/>
        <v>1182.528</v>
      </c>
      <c r="S23" s="262">
        <v>4106</v>
      </c>
      <c r="T23" s="697">
        <f t="shared" si="2"/>
        <v>821.2</v>
      </c>
      <c r="U23" s="745" t="s">
        <v>741</v>
      </c>
      <c r="W23" s="953">
        <f>IF($W$2&lt;4,SUMIFS(РегСкидка!$C$3:$C$619,РегСкидка!$D$3:$D$619,INDEX('Доставка по областям'!$G$2:$G$90,'ПОЛЫ Рязань'!$R$5),РегСкидка!$B$3:$B$619,U23,РегСкидка!$E$3:$E$619,$W$7)/100*IF(OR($W$3=1,$W$3=2,$W$3=3,$W$3=4),1,0),0)</f>
        <v>0</v>
      </c>
      <c r="X23" s="1230"/>
      <c r="Y23" s="4"/>
      <c r="Z23" s="1234"/>
      <c r="AA23" s="82"/>
    </row>
    <row r="24" spans="1:27" ht="20.100000000000001" customHeight="1" thickBot="1" x14ac:dyDescent="0.3">
      <c r="A24" s="35" t="s">
        <v>469</v>
      </c>
      <c r="B24" s="9">
        <v>1200</v>
      </c>
      <c r="C24" s="10">
        <v>600</v>
      </c>
      <c r="D24" s="11">
        <v>30</v>
      </c>
      <c r="E24" s="106"/>
      <c r="F24" s="106"/>
      <c r="G24" s="11">
        <v>455638</v>
      </c>
      <c r="H24" s="686" t="s">
        <v>339</v>
      </c>
      <c r="I24" s="178">
        <f>IF(H24="C",ROUNDUP(10000/110/ПолыDDP!O24,0)*ПолыDDP!O24," ")</f>
        <v>91.929599999999979</v>
      </c>
      <c r="J24" s="196"/>
      <c r="K24" s="45">
        <v>7</v>
      </c>
      <c r="L24" s="181">
        <f>B24*C24*K24/1000000</f>
        <v>5.04</v>
      </c>
      <c r="M24" s="198">
        <f>D24*L24/1000</f>
        <v>0.1512</v>
      </c>
      <c r="N24" s="45">
        <v>44</v>
      </c>
      <c r="O24" s="179">
        <f>M24*N24</f>
        <v>6.6528</v>
      </c>
      <c r="P24" s="179">
        <f>O24*11</f>
        <v>73.180800000000005</v>
      </c>
      <c r="Q24" s="46"/>
      <c r="R24" s="687">
        <f t="shared" si="1"/>
        <v>781.85519999999997</v>
      </c>
      <c r="S24" s="1165">
        <v>5171</v>
      </c>
      <c r="T24" s="688">
        <f t="shared" si="2"/>
        <v>155.13</v>
      </c>
      <c r="U24" s="745" t="s">
        <v>741</v>
      </c>
      <c r="W24" s="953">
        <f>IF($W$2&lt;4,SUMIFS(РегСкидка!$C$3:$C$619,РегСкидка!$D$3:$D$619,INDEX('Доставка по областям'!$G$2:$G$90,'ПОЛЫ Рязань'!$R$5),РегСкидка!$B$3:$B$619,U24,РегСкидка!$E$3:$E$619,$W$7)/100*IF(OR($W$3=1,$W$3=2,$W$3=3,$W$3=4),1,0),0)</f>
        <v>0</v>
      </c>
      <c r="X24" s="1230"/>
      <c r="Y24" s="4"/>
      <c r="Z24" s="1234"/>
      <c r="AA24" s="82"/>
    </row>
    <row r="25" spans="1:27" ht="20.100000000000001" customHeight="1" thickBot="1" x14ac:dyDescent="0.3">
      <c r="A25" s="700"/>
      <c r="B25" s="203">
        <v>1200</v>
      </c>
      <c r="C25" s="204">
        <v>600</v>
      </c>
      <c r="D25" s="209">
        <v>40</v>
      </c>
      <c r="E25" s="263"/>
      <c r="F25" s="263"/>
      <c r="G25" s="209">
        <v>395408</v>
      </c>
      <c r="H25" s="686" t="s">
        <v>339</v>
      </c>
      <c r="I25" s="177">
        <f>IF(H25="C",ROUNDUP(10000/110/ПолыDDP!O25,0)*ПолыDDP!O25," ")</f>
        <v>96.767999999999986</v>
      </c>
      <c r="J25" s="177"/>
      <c r="K25" s="97">
        <v>6</v>
      </c>
      <c r="L25" s="166">
        <f>B25*C25*K25/1000000</f>
        <v>4.32</v>
      </c>
      <c r="M25" s="169">
        <f>D25*L25/1000</f>
        <v>0.17280000000000001</v>
      </c>
      <c r="N25" s="97">
        <v>40</v>
      </c>
      <c r="O25" s="166">
        <f>M25*N25</f>
        <v>6.9120000000000008</v>
      </c>
      <c r="P25" s="166">
        <f>O25*11</f>
        <v>76.032000000000011</v>
      </c>
      <c r="Q25" s="266"/>
      <c r="R25" s="687" t="e">
        <f t="shared" ref="R25" si="3">M25*S25</f>
        <v>#VALUE!</v>
      </c>
      <c r="S25" s="645" t="s">
        <v>417</v>
      </c>
      <c r="T25" s="688" t="e">
        <f t="shared" ref="T25" si="4">S25*D25/1000</f>
        <v>#VALUE!</v>
      </c>
      <c r="U25" s="745" t="s">
        <v>741</v>
      </c>
      <c r="W25" s="953">
        <f>IF($W$2&lt;4,SUMIFS(РегСкидка!$C$3:$C$619,РегСкидка!$D$3:$D$619,INDEX('Доставка по областям'!$G$2:$G$90,'ПОЛЫ Рязань'!$R$5),РегСкидка!$B$3:$B$619,U25,РегСкидка!$E$3:$E$619,$W$7)/100*IF(OR($W$3=1,$W$3=2,$W$3=3,$W$3=4),1,0),0)</f>
        <v>0</v>
      </c>
      <c r="X25" s="1230"/>
      <c r="Y25" s="4"/>
      <c r="Z25" s="1234"/>
      <c r="AA25" s="82"/>
    </row>
    <row r="26" spans="1:27" ht="20.100000000000001" customHeight="1" thickBot="1" x14ac:dyDescent="0.3">
      <c r="A26" s="700"/>
      <c r="B26" s="203">
        <v>1200</v>
      </c>
      <c r="C26" s="204">
        <v>600</v>
      </c>
      <c r="D26" s="209">
        <v>50</v>
      </c>
      <c r="E26" s="263"/>
      <c r="F26" s="263"/>
      <c r="G26" s="209">
        <v>39559</v>
      </c>
      <c r="H26" s="686" t="s">
        <v>339</v>
      </c>
      <c r="I26" s="177">
        <f>IF(H26="C",ROUNDUP(10000/110/ПолыDDP!O26,0)*ПолыDDP!O26," ")</f>
        <v>93.139200000000002</v>
      </c>
      <c r="J26" s="177"/>
      <c r="K26" s="97">
        <v>6</v>
      </c>
      <c r="L26" s="166">
        <v>4.32</v>
      </c>
      <c r="M26" s="169">
        <v>0.216</v>
      </c>
      <c r="N26" s="97">
        <v>32</v>
      </c>
      <c r="O26" s="166">
        <v>6.9119999999999999</v>
      </c>
      <c r="P26" s="166">
        <v>76.031999999999996</v>
      </c>
      <c r="Q26" s="266"/>
      <c r="R26" s="687">
        <f t="shared" si="1"/>
        <v>1039.1759999999999</v>
      </c>
      <c r="S26" s="1165">
        <v>4811</v>
      </c>
      <c r="T26" s="688">
        <f t="shared" si="2"/>
        <v>240.55</v>
      </c>
      <c r="U26" s="745" t="s">
        <v>741</v>
      </c>
      <c r="W26" s="953">
        <f>IF($W$2&lt;4,SUMIFS(РегСкидка!$C$3:$C$619,РегСкидка!$D$3:$D$619,INDEX('Доставка по областям'!$G$2:$G$90,'ПОЛЫ Рязань'!$R$5),РегСкидка!$B$3:$B$619,U26,РегСкидка!$E$3:$E$619,$W$7)/100*IF(OR($W$3=1,$W$3=2,$W$3=3,$W$3=4),1,0),0)</f>
        <v>0</v>
      </c>
      <c r="X26" s="1230"/>
      <c r="Y26" s="4"/>
      <c r="Z26" s="1234"/>
      <c r="AA26" s="82"/>
    </row>
    <row r="27" spans="1:27" ht="24.95" customHeight="1" thickBot="1" x14ac:dyDescent="0.3">
      <c r="A27" s="700" t="s">
        <v>470</v>
      </c>
      <c r="B27" s="203">
        <v>1200</v>
      </c>
      <c r="C27" s="204">
        <v>600</v>
      </c>
      <c r="D27" s="209">
        <v>60</v>
      </c>
      <c r="E27" s="263"/>
      <c r="F27" s="263"/>
      <c r="G27" s="209">
        <v>404601</v>
      </c>
      <c r="H27" s="686" t="s">
        <v>339</v>
      </c>
      <c r="I27" s="177">
        <f>IF(H27="C",ROUNDUP(10000/110/ПолыDDP!O27,0)*ПолыDDP!O27," ")</f>
        <v>96.768000000000015</v>
      </c>
      <c r="J27" s="177"/>
      <c r="K27" s="97">
        <v>4</v>
      </c>
      <c r="L27" s="166">
        <v>2.8800000000000003</v>
      </c>
      <c r="M27" s="169">
        <v>0.17280000000000001</v>
      </c>
      <c r="N27" s="97">
        <v>40</v>
      </c>
      <c r="O27" s="166">
        <v>6.9120000000000008</v>
      </c>
      <c r="P27" s="166">
        <v>76.032000000000011</v>
      </c>
      <c r="Q27" s="266"/>
      <c r="R27" s="687">
        <f t="shared" si="1"/>
        <v>831.34080000000006</v>
      </c>
      <c r="S27" s="645">
        <v>4811</v>
      </c>
      <c r="T27" s="688">
        <f t="shared" si="2"/>
        <v>288.66000000000003</v>
      </c>
      <c r="U27" s="745" t="s">
        <v>741</v>
      </c>
      <c r="W27" s="953">
        <f>IF($W$2&lt;4,SUMIFS(РегСкидка!$C$3:$C$619,РегСкидка!$D$3:$D$619,INDEX('Доставка по областям'!$G$2:$G$90,'ПОЛЫ Рязань'!$R$5),РегСкидка!$B$3:$B$619,U27,РегСкидка!$E$3:$E$619,$W$7)/100*IF(OR($W$3=1,$W$3=2,$W$3=3,$W$3=4),1,0),0)</f>
        <v>0</v>
      </c>
      <c r="X27" s="1230"/>
      <c r="Y27" s="4"/>
      <c r="Z27" s="1234"/>
      <c r="AA27" s="82"/>
    </row>
    <row r="28" spans="1:27" ht="24.95" customHeight="1" thickBot="1" x14ac:dyDescent="0.3">
      <c r="A28" s="672"/>
      <c r="B28" s="203">
        <v>1200</v>
      </c>
      <c r="C28" s="204">
        <v>600</v>
      </c>
      <c r="D28" s="209">
        <v>70</v>
      </c>
      <c r="E28" s="263"/>
      <c r="F28" s="263"/>
      <c r="G28" s="209">
        <v>404602</v>
      </c>
      <c r="H28" s="686" t="s">
        <v>339</v>
      </c>
      <c r="I28" s="177">
        <f>IF(H28="C",ROUNDUP(10000/110/ПолыDDP!O28,0)*ПолыDDP!O28," ")</f>
        <v>96.768000000000001</v>
      </c>
      <c r="J28" s="177">
        <v>290.30399999999997</v>
      </c>
      <c r="K28" s="97">
        <v>4</v>
      </c>
      <c r="L28" s="166">
        <v>2.8800000000000003</v>
      </c>
      <c r="M28" s="169">
        <v>0.2016</v>
      </c>
      <c r="N28" s="97">
        <v>32</v>
      </c>
      <c r="O28" s="166">
        <v>6.4512</v>
      </c>
      <c r="P28" s="166">
        <v>70.963200000000001</v>
      </c>
      <c r="Q28" s="266"/>
      <c r="R28" s="687">
        <f t="shared" si="1"/>
        <v>969.89760000000001</v>
      </c>
      <c r="S28" s="645">
        <v>4811</v>
      </c>
      <c r="T28" s="688">
        <f t="shared" si="2"/>
        <v>336.77</v>
      </c>
      <c r="U28" s="745" t="s">
        <v>741</v>
      </c>
      <c r="W28" s="953">
        <f>IF($W$2&lt;4,SUMIFS(РегСкидка!$C$3:$C$619,РегСкидка!$D$3:$D$619,INDEX('Доставка по областям'!$G$2:$G$90,'ПОЛЫ Рязань'!$R$5),РегСкидка!$B$3:$B$619,U28,РегСкидка!$E$3:$E$619,$W$7)/100*IF(OR($W$3=1,$W$3=2,$W$3=3,$W$3=4),1,0),0)</f>
        <v>0</v>
      </c>
      <c r="X28" s="1230"/>
      <c r="Y28" s="4"/>
      <c r="Z28" s="1234"/>
      <c r="AA28" s="82"/>
    </row>
    <row r="29" spans="1:27" ht="24.95" customHeight="1" thickBot="1" x14ac:dyDescent="0.3">
      <c r="A29" s="672"/>
      <c r="B29" s="203">
        <v>1200</v>
      </c>
      <c r="C29" s="204">
        <v>600</v>
      </c>
      <c r="D29" s="209">
        <v>90</v>
      </c>
      <c r="E29" s="263">
        <v>100</v>
      </c>
      <c r="F29" s="263">
        <v>16.075102880658438</v>
      </c>
      <c r="G29" s="209">
        <v>404603</v>
      </c>
      <c r="H29" s="686" t="s">
        <v>339</v>
      </c>
      <c r="I29" s="177">
        <f>IF(H29="C",ROUNDUP(10000/110/ПолыDDP!O29,0)*ПолыDDP!O29," ")</f>
        <v>96.767999999999986</v>
      </c>
      <c r="J29" s="177">
        <v>317.26079999999996</v>
      </c>
      <c r="K29" s="97">
        <v>3</v>
      </c>
      <c r="L29" s="166">
        <v>2.16</v>
      </c>
      <c r="M29" s="169">
        <v>0.19439999999999999</v>
      </c>
      <c r="N29" s="97">
        <v>32</v>
      </c>
      <c r="O29" s="166">
        <v>6.2207999999999997</v>
      </c>
      <c r="P29" s="166">
        <v>68.428799999999995</v>
      </c>
      <c r="Q29" s="266"/>
      <c r="R29" s="687">
        <f t="shared" si="1"/>
        <v>935.25839999999994</v>
      </c>
      <c r="S29" s="645">
        <v>4811</v>
      </c>
      <c r="T29" s="688">
        <f t="shared" si="2"/>
        <v>432.99</v>
      </c>
      <c r="U29" s="745" t="s">
        <v>741</v>
      </c>
      <c r="W29" s="953">
        <f>IF($W$2&lt;4,SUMIFS(РегСкидка!$C$3:$C$619,РегСкидка!$D$3:$D$619,INDEX('Доставка по областям'!$G$2:$G$90,'ПОЛЫ Рязань'!$R$5),РегСкидка!$B$3:$B$619,U29,РегСкидка!$E$3:$E$619,$W$7)/100*IF(OR($W$3=1,$W$3=2,$W$3=3,$W$3=4),1,0),0)</f>
        <v>0</v>
      </c>
      <c r="X29" s="1230"/>
      <c r="Y29" s="4"/>
      <c r="Z29" s="1234"/>
      <c r="AA29" s="82"/>
    </row>
    <row r="30" spans="1:27" ht="20.100000000000001" customHeight="1" thickBot="1" x14ac:dyDescent="0.3">
      <c r="A30" s="701"/>
      <c r="B30" s="203">
        <v>1200</v>
      </c>
      <c r="C30" s="204">
        <v>600</v>
      </c>
      <c r="D30" s="209">
        <v>80</v>
      </c>
      <c r="E30" s="263">
        <v>100</v>
      </c>
      <c r="F30" s="263">
        <v>14.467592592592592</v>
      </c>
      <c r="G30" s="209">
        <v>332336</v>
      </c>
      <c r="H30" s="686" t="s">
        <v>339</v>
      </c>
      <c r="I30" s="177">
        <f>IF(H30="C",ROUNDUP(10000/110/ПолыDDP!O30,0)*ПолыDDP!O30," ")</f>
        <v>96.768000000000001</v>
      </c>
      <c r="J30" s="177"/>
      <c r="K30" s="97">
        <v>3</v>
      </c>
      <c r="L30" s="166">
        <v>2.16</v>
      </c>
      <c r="M30" s="169">
        <v>0.17280000000000001</v>
      </c>
      <c r="N30" s="97">
        <v>40</v>
      </c>
      <c r="O30" s="166">
        <v>6.9120000000000008</v>
      </c>
      <c r="P30" s="166">
        <v>76.032000000000011</v>
      </c>
      <c r="Q30" s="266"/>
      <c r="R30" s="687">
        <f t="shared" si="1"/>
        <v>831.34080000000006</v>
      </c>
      <c r="S30" s="645">
        <v>4811</v>
      </c>
      <c r="T30" s="688">
        <f t="shared" si="2"/>
        <v>384.88</v>
      </c>
      <c r="U30" s="745" t="s">
        <v>741</v>
      </c>
      <c r="W30" s="953">
        <f>IF($W$2&lt;4,SUMIFS(РегСкидка!$C$3:$C$619,РегСкидка!$D$3:$D$619,INDEX('Доставка по областям'!$G$2:$G$90,'ПОЛЫ Рязань'!$R$5),РегСкидка!$B$3:$B$619,U30,РегСкидка!$E$3:$E$619,$W$7)/100*IF(OR($W$3=1,$W$3=2,$W$3=3,$W$3=4),1,0),0)</f>
        <v>0</v>
      </c>
      <c r="X30" s="1230"/>
      <c r="Y30" s="4"/>
      <c r="Z30" s="1234"/>
      <c r="AA30" s="82"/>
    </row>
    <row r="31" spans="1:27" ht="20.100000000000001" customHeight="1" thickBot="1" x14ac:dyDescent="0.3">
      <c r="A31" s="701"/>
      <c r="B31" s="203">
        <v>1200</v>
      </c>
      <c r="C31" s="204">
        <v>600</v>
      </c>
      <c r="D31" s="209">
        <v>100</v>
      </c>
      <c r="E31" s="263"/>
      <c r="F31" s="263">
        <v>0</v>
      </c>
      <c r="G31" s="209">
        <v>366758</v>
      </c>
      <c r="H31" s="686" t="s">
        <v>339</v>
      </c>
      <c r="I31" s="177">
        <f>IF(H31="C",ROUNDUP(10000/110/ПолыDDP!O31,0)*ПолыDDP!O31," ")</f>
        <v>96.768000000000015</v>
      </c>
      <c r="J31" s="177"/>
      <c r="K31" s="97">
        <v>3</v>
      </c>
      <c r="L31" s="166">
        <v>2.16</v>
      </c>
      <c r="M31" s="169">
        <v>0.216</v>
      </c>
      <c r="N31" s="97">
        <v>32</v>
      </c>
      <c r="O31" s="166">
        <v>6.9119999999999999</v>
      </c>
      <c r="P31" s="166">
        <v>76.031999999999996</v>
      </c>
      <c r="Q31" s="266"/>
      <c r="R31" s="687">
        <f t="shared" si="1"/>
        <v>1039.1759999999999</v>
      </c>
      <c r="S31" s="645">
        <v>4811</v>
      </c>
      <c r="T31" s="688">
        <f t="shared" si="2"/>
        <v>481.1</v>
      </c>
      <c r="U31" s="745" t="s">
        <v>741</v>
      </c>
      <c r="W31" s="953">
        <f>IF($W$2&lt;4,SUMIFS(РегСкидка!$C$3:$C$619,РегСкидка!$D$3:$D$619,INDEX('Доставка по областям'!$G$2:$G$90,'ПОЛЫ Рязань'!$R$5),РегСкидка!$B$3:$B$619,U31,РегСкидка!$E$3:$E$619,$W$7)/100*IF(OR($W$3=1,$W$3=2,$W$3=3,$W$3=4),1,0),0)</f>
        <v>0</v>
      </c>
      <c r="X31" s="1230"/>
      <c r="Y31" s="4"/>
      <c r="Z31" s="1234"/>
      <c r="AA31" s="82"/>
    </row>
    <row r="32" spans="1:27" ht="20.100000000000001" customHeight="1" thickBot="1" x14ac:dyDescent="0.3">
      <c r="A32" s="701"/>
      <c r="B32" s="203">
        <v>1200</v>
      </c>
      <c r="C32" s="204">
        <v>600</v>
      </c>
      <c r="D32" s="209">
        <v>110</v>
      </c>
      <c r="E32" s="263">
        <v>100</v>
      </c>
      <c r="F32" s="263">
        <v>15.031265031265031</v>
      </c>
      <c r="G32" s="209">
        <v>396992</v>
      </c>
      <c r="H32" s="686" t="s">
        <v>339</v>
      </c>
      <c r="I32" s="177">
        <f>IF(H32="C",ROUNDUP(10000/110/ПолыDDP!O32,0)*ПолыDDP!O32," ")</f>
        <v>93.312000000000012</v>
      </c>
      <c r="J32" s="177">
        <v>319.33440000000002</v>
      </c>
      <c r="K32" s="97">
        <v>3</v>
      </c>
      <c r="L32" s="166">
        <v>2.16</v>
      </c>
      <c r="M32" s="169">
        <v>0.23760000000000001</v>
      </c>
      <c r="N32" s="97">
        <v>28</v>
      </c>
      <c r="O32" s="166">
        <v>6.6528</v>
      </c>
      <c r="P32" s="166">
        <v>73.180800000000005</v>
      </c>
      <c r="Q32" s="266"/>
      <c r="R32" s="687">
        <v>1034.5104000000001</v>
      </c>
      <c r="S32" s="645">
        <v>4811</v>
      </c>
      <c r="T32" s="688">
        <v>478.94</v>
      </c>
      <c r="U32" s="745" t="s">
        <v>741</v>
      </c>
      <c r="W32" s="953">
        <f>IF($W$2&lt;4,SUMIFS(РегСкидка!$C$3:$C$619,РегСкидка!$D$3:$D$619,INDEX('Доставка по областям'!$G$2:$G$90,'ПОЛЫ Рязань'!$R$5),РегСкидка!$B$3:$B$619,U32,РегСкидка!$E$3:$E$619,$W$7)/100*IF(OR($W$3=1,$W$3=2,$W$3=3,$W$3=4),1,0),0)</f>
        <v>0</v>
      </c>
      <c r="X32" s="1230"/>
      <c r="Y32" s="4"/>
      <c r="Z32" s="1234"/>
      <c r="AA32" s="82"/>
    </row>
    <row r="33" spans="1:27" ht="24.95" customHeight="1" thickBot="1" x14ac:dyDescent="0.3">
      <c r="A33" s="701"/>
      <c r="B33" s="203">
        <v>1200</v>
      </c>
      <c r="C33" s="204">
        <v>600</v>
      </c>
      <c r="D33" s="209">
        <v>120</v>
      </c>
      <c r="E33" s="263">
        <v>100</v>
      </c>
      <c r="F33" s="263">
        <v>14.467592592592592</v>
      </c>
      <c r="G33" s="209">
        <v>404607</v>
      </c>
      <c r="H33" s="686" t="s">
        <v>339</v>
      </c>
      <c r="I33" s="177">
        <f>IF(H33="C",ROUNDUP(10000/110/ПолыDDP!O33,0)*ПолыDDP!O33," ")</f>
        <v>96.768000000000001</v>
      </c>
      <c r="J33" s="177">
        <v>331.77600000000007</v>
      </c>
      <c r="K33" s="97">
        <v>2</v>
      </c>
      <c r="L33" s="166">
        <v>1.4400000000000002</v>
      </c>
      <c r="M33" s="169">
        <v>0.17280000000000001</v>
      </c>
      <c r="N33" s="97">
        <v>40</v>
      </c>
      <c r="O33" s="166">
        <v>6.9120000000000008</v>
      </c>
      <c r="P33" s="166">
        <v>76.032000000000011</v>
      </c>
      <c r="Q33" s="266"/>
      <c r="R33" s="687">
        <f>M33*S33</f>
        <v>831.34080000000006</v>
      </c>
      <c r="S33" s="645">
        <v>4811</v>
      </c>
      <c r="T33" s="688">
        <f>S33*D33/1000</f>
        <v>577.32000000000005</v>
      </c>
      <c r="U33" s="745" t="s">
        <v>741</v>
      </c>
      <c r="W33" s="953">
        <f>IF($W$2&lt;4,SUMIFS(РегСкидка!$C$3:$C$619,РегСкидка!$D$3:$D$619,INDEX('Доставка по областям'!$G$2:$G$90,'ПОЛЫ Рязань'!$R$5),РегСкидка!$B$3:$B$619,U33,РегСкидка!$E$3:$E$619,$W$7)/100*IF(OR($W$3=1,$W$3=2,$W$3=3,$W$3=4),1,0),0)</f>
        <v>0</v>
      </c>
      <c r="X33" s="1230"/>
      <c r="Y33" s="4"/>
      <c r="Z33" s="1234"/>
      <c r="AA33" s="82"/>
    </row>
    <row r="34" spans="1:27" ht="24.95" customHeight="1" thickBot="1" x14ac:dyDescent="0.3">
      <c r="A34" s="701"/>
      <c r="B34" s="203">
        <v>1200</v>
      </c>
      <c r="C34" s="204">
        <v>600</v>
      </c>
      <c r="D34" s="209">
        <v>130</v>
      </c>
      <c r="E34" s="263">
        <v>100</v>
      </c>
      <c r="F34" s="263">
        <v>14.83855650522317</v>
      </c>
      <c r="G34" s="209">
        <v>404613</v>
      </c>
      <c r="H34" s="686" t="s">
        <v>339</v>
      </c>
      <c r="I34" s="177">
        <f>IF(H34="C",ROUNDUP(10000/110/ПолыDDP!O34,0)*ПолыDDP!O34," ")</f>
        <v>93.139200000000017</v>
      </c>
      <c r="J34" s="177">
        <v>323.48160000000001</v>
      </c>
      <c r="K34" s="97">
        <v>2</v>
      </c>
      <c r="L34" s="166">
        <v>1.4400000000000002</v>
      </c>
      <c r="M34" s="169">
        <v>0.18720000000000001</v>
      </c>
      <c r="N34" s="97">
        <v>36</v>
      </c>
      <c r="O34" s="166">
        <v>6.7392000000000003</v>
      </c>
      <c r="P34" s="166">
        <v>74.131200000000007</v>
      </c>
      <c r="Q34" s="266"/>
      <c r="R34" s="687">
        <f>M34*S34</f>
        <v>900.61919999999998</v>
      </c>
      <c r="S34" s="645">
        <v>4811</v>
      </c>
      <c r="T34" s="688">
        <f>S34*D34/1000</f>
        <v>625.42999999999995</v>
      </c>
      <c r="U34" s="745" t="s">
        <v>741</v>
      </c>
      <c r="W34" s="953">
        <f>IF($W$2&lt;4,SUMIFS(РегСкидка!$C$3:$C$619,РегСкидка!$D$3:$D$619,INDEX('Доставка по областям'!$G$2:$G$90,'ПОЛЫ Рязань'!$R$5),РегСкидка!$B$3:$B$619,U34,РегСкидка!$E$3:$E$619,$W$7)/100*IF(OR($W$3=1,$W$3=2,$W$3=3,$W$3=4),1,0),0)</f>
        <v>0</v>
      </c>
      <c r="X34" s="1230"/>
      <c r="Y34" s="4"/>
      <c r="Z34" s="1234"/>
      <c r="AA34" s="82"/>
    </row>
    <row r="35" spans="1:27" ht="24.95" customHeight="1" thickBot="1" x14ac:dyDescent="0.3">
      <c r="A35" s="701"/>
      <c r="B35" s="203">
        <v>1200</v>
      </c>
      <c r="C35" s="204">
        <v>600</v>
      </c>
      <c r="D35" s="209">
        <v>140</v>
      </c>
      <c r="E35" s="263">
        <v>100</v>
      </c>
      <c r="F35" s="263">
        <v>15.500992063492063</v>
      </c>
      <c r="G35" s="209">
        <v>404614</v>
      </c>
      <c r="H35" s="686" t="s">
        <v>339</v>
      </c>
      <c r="I35" s="177">
        <f>IF(H35="C",ROUNDUP(10000/110/ПолыDDP!O35,0)*ПолыDDP!O35," ")</f>
        <v>96.767999999999986</v>
      </c>
      <c r="J35" s="177">
        <v>309.6576</v>
      </c>
      <c r="K35" s="97">
        <v>2</v>
      </c>
      <c r="L35" s="166">
        <v>1.4400000000000002</v>
      </c>
      <c r="M35" s="169">
        <v>0.2016</v>
      </c>
      <c r="N35" s="97">
        <v>32</v>
      </c>
      <c r="O35" s="166">
        <v>6.4512</v>
      </c>
      <c r="P35" s="166">
        <v>70.963200000000001</v>
      </c>
      <c r="Q35" s="266"/>
      <c r="R35" s="687">
        <f>M35*S35</f>
        <v>969.89760000000001</v>
      </c>
      <c r="S35" s="645">
        <v>4811</v>
      </c>
      <c r="T35" s="688">
        <f>S35*D35/1000</f>
        <v>673.54</v>
      </c>
      <c r="U35" s="745" t="s">
        <v>741</v>
      </c>
      <c r="W35" s="953">
        <f>IF($W$2&lt;4,SUMIFS(РегСкидка!$C$3:$C$619,РегСкидка!$D$3:$D$619,INDEX('Доставка по областям'!$G$2:$G$90,'ПОЛЫ Рязань'!$R$5),РегСкидка!$B$3:$B$619,U35,РегСкидка!$E$3:$E$619,$W$7)/100*IF(OR($W$3=1,$W$3=2,$W$3=3,$W$3=4),1,0),0)</f>
        <v>0</v>
      </c>
      <c r="X35" s="1230"/>
      <c r="Y35" s="4"/>
      <c r="Z35" s="1234"/>
      <c r="AA35" s="82"/>
    </row>
    <row r="36" spans="1:27" ht="20.100000000000001" customHeight="1" thickBot="1" x14ac:dyDescent="0.3">
      <c r="A36" s="701"/>
      <c r="B36" s="203">
        <v>1200</v>
      </c>
      <c r="C36" s="204">
        <v>600</v>
      </c>
      <c r="D36" s="209">
        <v>150</v>
      </c>
      <c r="E36" s="263">
        <v>100</v>
      </c>
      <c r="F36" s="263">
        <v>14.467592592592593</v>
      </c>
      <c r="G36" s="209">
        <v>398624</v>
      </c>
      <c r="H36" s="686" t="s">
        <v>339</v>
      </c>
      <c r="I36" s="177">
        <f>IF(H36="C",ROUNDUP(10000/110/ПолыDDP!O36,0)*ПолыDDP!O36," ")</f>
        <v>94.348799999999997</v>
      </c>
      <c r="J36" s="177">
        <v>331.77600000000001</v>
      </c>
      <c r="K36" s="97">
        <v>2</v>
      </c>
      <c r="L36" s="166">
        <v>1.4400000000000002</v>
      </c>
      <c r="M36" s="169">
        <v>0.216</v>
      </c>
      <c r="N36" s="97">
        <v>32</v>
      </c>
      <c r="O36" s="166">
        <v>6.9119999999999999</v>
      </c>
      <c r="P36" s="166">
        <v>76.031999999999996</v>
      </c>
      <c r="Q36" s="266"/>
      <c r="R36" s="687">
        <v>940.46399999999994</v>
      </c>
      <c r="S36" s="645">
        <v>4811</v>
      </c>
      <c r="T36" s="688">
        <v>653.1</v>
      </c>
      <c r="U36" s="745" t="s">
        <v>741</v>
      </c>
      <c r="W36" s="953">
        <f>IF($W$2&lt;4,SUMIFS(РегСкидка!$C$3:$C$619,РегСкидка!$D$3:$D$619,INDEX('Доставка по областям'!$G$2:$G$90,'ПОЛЫ Рязань'!$R$5),РегСкидка!$B$3:$B$619,U36,РегСкидка!$E$3:$E$619,$W$7)/100*IF(OR($W$3=1,$W$3=2,$W$3=3,$W$3=4),1,0),0)</f>
        <v>0</v>
      </c>
      <c r="X36" s="1230"/>
      <c r="Y36" s="4"/>
      <c r="Z36" s="1234"/>
      <c r="AA36" s="82"/>
    </row>
    <row r="37" spans="1:27" ht="24.95" customHeight="1" thickBot="1" x14ac:dyDescent="0.3">
      <c r="A37" s="701"/>
      <c r="B37" s="203">
        <v>1200</v>
      </c>
      <c r="C37" s="204">
        <v>600</v>
      </c>
      <c r="D37" s="209">
        <v>160</v>
      </c>
      <c r="E37" s="263">
        <v>100</v>
      </c>
      <c r="F37" s="263">
        <v>15.500992063492063</v>
      </c>
      <c r="G37" s="209">
        <v>404616</v>
      </c>
      <c r="H37" s="686" t="s">
        <v>339</v>
      </c>
      <c r="I37" s="177">
        <f>IF(H37="C",ROUNDUP(10000/110/ПолыDDP!O37,0)*ПолыDDP!O37," ")</f>
        <v>96.768000000000001</v>
      </c>
      <c r="J37" s="177">
        <v>309.6576</v>
      </c>
      <c r="K37" s="97">
        <v>2</v>
      </c>
      <c r="L37" s="166">
        <v>1.44</v>
      </c>
      <c r="M37" s="169">
        <v>0.23039999999999999</v>
      </c>
      <c r="N37" s="97">
        <v>28</v>
      </c>
      <c r="O37" s="166">
        <v>6.4512</v>
      </c>
      <c r="P37" s="166">
        <v>70.963200000000001</v>
      </c>
      <c r="Q37" s="266"/>
      <c r="R37" s="687">
        <f>M37*S37</f>
        <v>1108.4544000000001</v>
      </c>
      <c r="S37" s="645">
        <v>4811</v>
      </c>
      <c r="T37" s="688">
        <f>S37*D37/1000</f>
        <v>769.76</v>
      </c>
      <c r="U37" s="745" t="s">
        <v>741</v>
      </c>
      <c r="W37" s="953">
        <f>IF($W$2&lt;4,SUMIFS(РегСкидка!$C$3:$C$619,РегСкидка!$D$3:$D$619,INDEX('Доставка по областям'!$G$2:$G$90,'ПОЛЫ Рязань'!$R$5),РегСкидка!$B$3:$B$619,U37,РегСкидка!$E$3:$E$619,$W$7)/100*IF(OR($W$3=1,$W$3=2,$W$3=3,$W$3=4),1,0),0)</f>
        <v>0</v>
      </c>
      <c r="X37" s="1230"/>
      <c r="Y37" s="4"/>
      <c r="Z37" s="1234"/>
      <c r="AA37" s="82"/>
    </row>
    <row r="38" spans="1:27" ht="20.100000000000001" customHeight="1" thickBot="1" x14ac:dyDescent="0.3">
      <c r="A38" s="701"/>
      <c r="B38" s="203">
        <v>1200</v>
      </c>
      <c r="C38" s="204">
        <v>600</v>
      </c>
      <c r="D38" s="209">
        <v>170</v>
      </c>
      <c r="E38" s="263">
        <v>100</v>
      </c>
      <c r="F38" s="263">
        <v>14.589169000933706</v>
      </c>
      <c r="G38" s="209">
        <v>372626</v>
      </c>
      <c r="H38" s="686" t="s">
        <v>339</v>
      </c>
      <c r="I38" s="177">
        <f>IF(H38="C",ROUNDUP(10000/110/ПолыDDP!O38,0)*ПолыDDP!O38," ")</f>
        <v>96.768000000000001</v>
      </c>
      <c r="J38" s="177">
        <v>329.01120000000003</v>
      </c>
      <c r="K38" s="97">
        <v>2</v>
      </c>
      <c r="L38" s="166">
        <v>1.44</v>
      </c>
      <c r="M38" s="169">
        <v>0.24479999999999999</v>
      </c>
      <c r="N38" s="97">
        <v>28</v>
      </c>
      <c r="O38" s="166">
        <v>6.8544</v>
      </c>
      <c r="P38" s="166">
        <v>75.398399999999995</v>
      </c>
      <c r="Q38" s="266"/>
      <c r="R38" s="687">
        <v>1065.8591999999999</v>
      </c>
      <c r="S38" s="645">
        <v>4811</v>
      </c>
      <c r="T38" s="688">
        <v>740.18</v>
      </c>
      <c r="U38" s="745" t="s">
        <v>741</v>
      </c>
      <c r="W38" s="953">
        <f>IF($W$2&lt;4,SUMIFS(РегСкидка!$C$3:$C$619,РегСкидка!$D$3:$D$619,INDEX('Доставка по областям'!$G$2:$G$90,'ПОЛЫ Рязань'!$R$5),РегСкидка!$B$3:$B$619,U38,РегСкидка!$E$3:$E$619,$W$7)/100*IF(OR($W$3=1,$W$3=2,$W$3=3,$W$3=4),1,0),0)</f>
        <v>0</v>
      </c>
      <c r="X38" s="1230"/>
      <c r="Y38" s="4"/>
      <c r="Z38" s="1234"/>
      <c r="AA38" s="82"/>
    </row>
    <row r="39" spans="1:27" ht="20.100000000000001" customHeight="1" thickBot="1" x14ac:dyDescent="0.3">
      <c r="A39" s="701"/>
      <c r="B39" s="240">
        <v>1200</v>
      </c>
      <c r="C39" s="241">
        <v>600</v>
      </c>
      <c r="D39" s="242">
        <v>180</v>
      </c>
      <c r="E39" s="289">
        <v>100</v>
      </c>
      <c r="F39" s="289">
        <v>16.075102880658438</v>
      </c>
      <c r="G39" s="242">
        <v>404619</v>
      </c>
      <c r="H39" s="686" t="s">
        <v>339</v>
      </c>
      <c r="I39" s="445">
        <f>IF(H39="C",ROUNDUP(10000/110/ПолыDDP!O39,0)*ПолыDDP!O39," ")</f>
        <v>96.767999999999986</v>
      </c>
      <c r="J39" s="455">
        <v>298.59839999999997</v>
      </c>
      <c r="K39" s="306">
        <v>2</v>
      </c>
      <c r="L39" s="167">
        <v>1.44</v>
      </c>
      <c r="M39" s="307">
        <v>0.25919999999999999</v>
      </c>
      <c r="N39" s="306">
        <v>24</v>
      </c>
      <c r="O39" s="167">
        <v>6.2207999999999997</v>
      </c>
      <c r="P39" s="167">
        <v>68.428799999999995</v>
      </c>
      <c r="Q39" s="308"/>
      <c r="R39" s="703">
        <f>M39*S39</f>
        <v>1247.0111999999999</v>
      </c>
      <c r="S39" s="645">
        <v>4811</v>
      </c>
      <c r="T39" s="705">
        <f>S39*D39/1000</f>
        <v>865.98</v>
      </c>
      <c r="U39" s="745" t="s">
        <v>741</v>
      </c>
      <c r="W39" s="953">
        <f>IF($W$2&lt;4,SUMIFS(РегСкидка!$C$3:$C$619,РегСкидка!$D$3:$D$619,INDEX('Доставка по областям'!$G$2:$G$90,'ПОЛЫ Рязань'!$R$5),РегСкидка!$B$3:$B$619,U39,РегСкидка!$E$3:$E$619,$W$7)/100*IF(OR($W$3=1,$W$3=2,$W$3=3,$W$3=4),1,0),0)</f>
        <v>0</v>
      </c>
      <c r="X39" s="1230"/>
      <c r="Y39" s="4"/>
      <c r="Z39" s="1234"/>
      <c r="AA39" s="82"/>
    </row>
    <row r="40" spans="1:27" ht="20.100000000000001" hidden="1" customHeight="1" thickBot="1" x14ac:dyDescent="0.3">
      <c r="A40" s="701"/>
      <c r="B40" s="249">
        <v>1200</v>
      </c>
      <c r="C40" s="287">
        <v>600</v>
      </c>
      <c r="D40" s="288">
        <v>190</v>
      </c>
      <c r="E40" s="319">
        <v>100</v>
      </c>
      <c r="F40" s="319">
        <v>15.229044834307993</v>
      </c>
      <c r="G40" s="288" t="s">
        <v>261</v>
      </c>
      <c r="H40" s="686" t="s">
        <v>339</v>
      </c>
      <c r="I40" s="178">
        <f>IF(H40="C",ROUNDUP(10000/110/ПолыDDP!O40,0)*ПолыDDP!O40," ")</f>
        <v>95.961600000000004</v>
      </c>
      <c r="J40" s="178">
        <v>315.18719999999996</v>
      </c>
      <c r="K40" s="320">
        <v>2</v>
      </c>
      <c r="L40" s="168">
        <v>1.4400000000000002</v>
      </c>
      <c r="M40" s="265">
        <v>0.27360000000000001</v>
      </c>
      <c r="N40" s="320">
        <v>24</v>
      </c>
      <c r="O40" s="168">
        <v>6.5663999999999998</v>
      </c>
      <c r="P40" s="168">
        <v>72.230400000000003</v>
      </c>
      <c r="Q40" s="612"/>
      <c r="R40" s="687">
        <f>M40*S40</f>
        <v>1191.2544</v>
      </c>
      <c r="S40" s="645">
        <v>4354</v>
      </c>
      <c r="T40" s="688">
        <f>S40*D40/1000</f>
        <v>827.26</v>
      </c>
      <c r="U40" s="745" t="s">
        <v>741</v>
      </c>
      <c r="W40" s="953">
        <f>IF($W$2&lt;4,SUMIFS(РегСкидка!$C$3:$C$619,РегСкидка!$D$3:$D$619,INDEX('Доставка по областям'!$G$2:$G$90,'ПОЛЫ Рязань'!$R$5),РегСкидка!$B$3:$B$619,U40,РегСкидка!$E$3:$E$619,$W$7)/100*IF(OR($W$3=1,$W$3=2,$W$3=3,$W$3=4),1,0),0)</f>
        <v>0</v>
      </c>
      <c r="X40" s="1230"/>
      <c r="Y40" s="4"/>
      <c r="Z40" s="1234"/>
      <c r="AA40" s="82"/>
    </row>
    <row r="41" spans="1:27" ht="20.100000000000001" hidden="1" customHeight="1" thickBot="1" x14ac:dyDescent="0.3">
      <c r="A41" s="707"/>
      <c r="B41" s="240">
        <v>1200</v>
      </c>
      <c r="C41" s="241">
        <v>600</v>
      </c>
      <c r="D41" s="242">
        <v>200</v>
      </c>
      <c r="E41" s="289">
        <v>100</v>
      </c>
      <c r="F41" s="289">
        <v>14.467592592592595</v>
      </c>
      <c r="G41" s="242" t="s">
        <v>262</v>
      </c>
      <c r="H41" s="686" t="s">
        <v>339</v>
      </c>
      <c r="I41" s="177">
        <f>IF(H41="C",ROUNDUP(10000/110/ПолыDDP!O41,0)*ПолыDDP!O41," ")</f>
        <v>93.311999999999998</v>
      </c>
      <c r="J41" s="455">
        <v>331.77599999999995</v>
      </c>
      <c r="K41" s="306">
        <v>2</v>
      </c>
      <c r="L41" s="167">
        <v>1.44</v>
      </c>
      <c r="M41" s="307">
        <v>0.28799999999999998</v>
      </c>
      <c r="N41" s="306">
        <v>24</v>
      </c>
      <c r="O41" s="167">
        <v>6.911999999999999</v>
      </c>
      <c r="P41" s="167">
        <v>76.031999999999982</v>
      </c>
      <c r="Q41" s="308"/>
      <c r="R41" s="696">
        <f>M41*S41</f>
        <v>1253.952</v>
      </c>
      <c r="S41" s="704">
        <v>4354</v>
      </c>
      <c r="T41" s="697">
        <f>S41*D41/1000</f>
        <v>870.8</v>
      </c>
      <c r="U41" s="745" t="s">
        <v>741</v>
      </c>
      <c r="W41" s="953">
        <f>IF($W$2&lt;4,SUMIFS(РегСкидка!$C$3:$C$619,РегСкидка!$D$3:$D$619,INDEX('Доставка по областям'!$G$2:$G$90,'ПОЛЫ Рязань'!$R$5),РегСкидка!$B$3:$B$619,U41,РегСкидка!$E$3:$E$619,$W$7)/100*IF(OR($W$3=1,$W$3=2,$W$3=3,$W$3=4),1,0),0)</f>
        <v>0</v>
      </c>
      <c r="X41" s="1230"/>
      <c r="Y41" s="4"/>
      <c r="Z41" s="1234"/>
      <c r="AA41" s="82"/>
    </row>
    <row r="42" spans="1:27" ht="20.100000000000001" customHeight="1" thickBot="1" x14ac:dyDescent="0.3">
      <c r="A42" s="35" t="s">
        <v>471</v>
      </c>
      <c r="B42" s="252">
        <v>1200</v>
      </c>
      <c r="C42" s="250">
        <v>600</v>
      </c>
      <c r="D42" s="251">
        <v>40</v>
      </c>
      <c r="E42" s="277"/>
      <c r="F42" s="278"/>
      <c r="G42" s="251">
        <v>387498</v>
      </c>
      <c r="H42" s="686" t="s">
        <v>339</v>
      </c>
      <c r="I42" s="177">
        <f>IF(H42="C",ROUNDUP(10000/170/ПолыDDP!O42,0)*ПолыDDP!O42," ")</f>
        <v>63.359999999999992</v>
      </c>
      <c r="J42" s="280"/>
      <c r="K42" s="281">
        <v>5</v>
      </c>
      <c r="L42" s="282">
        <v>3.6</v>
      </c>
      <c r="M42" s="283">
        <v>0.14399999999999999</v>
      </c>
      <c r="N42" s="284">
        <v>44</v>
      </c>
      <c r="O42" s="282">
        <v>6.3359999999999994</v>
      </c>
      <c r="P42" s="282">
        <v>69.695999999999998</v>
      </c>
      <c r="Q42" s="285"/>
      <c r="R42" s="687">
        <f>M42*S42</f>
        <v>1202.1119999999999</v>
      </c>
      <c r="S42" s="1167">
        <v>8348</v>
      </c>
      <c r="T42" s="688">
        <f>S42*D42/1000</f>
        <v>333.92</v>
      </c>
      <c r="U42" s="745" t="s">
        <v>741</v>
      </c>
      <c r="W42" s="953">
        <f>IF($W$2&lt;4,SUMIFS(РегСкидка!$C$3:$C$619,РегСкидка!$D$3:$D$619,INDEX('Доставка по областям'!$G$2:$G$90,'ПОЛЫ Рязань'!$R$5),РегСкидка!$B$3:$B$619,U42,РегСкидка!$E$3:$E$619,$W$7)/100*IF(OR($W$3=1,$W$3=2,$W$3=3,$W$3=4),1,0),0)</f>
        <v>0</v>
      </c>
      <c r="X42" s="1230"/>
      <c r="Y42" s="4"/>
      <c r="Z42" s="1234"/>
      <c r="AA42" s="82"/>
    </row>
    <row r="43" spans="1:27" ht="20.100000000000001" customHeight="1" thickBot="1" x14ac:dyDescent="0.3">
      <c r="A43" s="708"/>
      <c r="B43" s="203">
        <v>1200</v>
      </c>
      <c r="C43" s="287">
        <v>600</v>
      </c>
      <c r="D43" s="288">
        <v>50</v>
      </c>
      <c r="E43" s="289"/>
      <c r="F43" s="263"/>
      <c r="G43" s="288">
        <v>354766</v>
      </c>
      <c r="H43" s="686" t="s">
        <v>339</v>
      </c>
      <c r="I43" s="177">
        <f>IF(H43="C",ROUNDUP(10000/170/ПолыDDP!O43,0)*ПолыDDP!O43," ")</f>
        <v>64.8</v>
      </c>
      <c r="J43" s="291"/>
      <c r="K43" s="97">
        <v>5</v>
      </c>
      <c r="L43" s="166">
        <v>3.6</v>
      </c>
      <c r="M43" s="126">
        <v>0.18</v>
      </c>
      <c r="N43" s="127">
        <v>36</v>
      </c>
      <c r="O43" s="166">
        <v>6.4799999999999995</v>
      </c>
      <c r="P43" s="166">
        <v>71.28</v>
      </c>
      <c r="Q43" s="266"/>
      <c r="R43" s="687">
        <f>M43*S43</f>
        <v>1502.6399999999999</v>
      </c>
      <c r="S43" s="124">
        <v>8348</v>
      </c>
      <c r="T43" s="688">
        <f>S43*D43/1000</f>
        <v>417.4</v>
      </c>
      <c r="U43" s="745" t="s">
        <v>741</v>
      </c>
      <c r="W43" s="953">
        <f>IF($W$2&lt;4,SUMIFS(РегСкидка!$C$3:$C$619,РегСкидка!$D$3:$D$619,INDEX('Доставка по областям'!$G$2:$G$90,'ПОЛЫ Рязань'!$R$5),РегСкидка!$B$3:$B$619,U43,РегСкидка!$E$3:$E$619,$W$7)/100*IF(OR($W$3=1,$W$3=2,$W$3=3,$W$3=4),1,0),0)</f>
        <v>0</v>
      </c>
      <c r="X43" s="1230"/>
      <c r="Y43" s="4"/>
      <c r="Z43" s="1234"/>
      <c r="AA43" s="82"/>
    </row>
    <row r="44" spans="1:27" ht="20.100000000000001" customHeight="1" thickBot="1" x14ac:dyDescent="0.3">
      <c r="A44" s="709" t="s">
        <v>472</v>
      </c>
      <c r="B44" s="292"/>
      <c r="C44" s="293"/>
      <c r="D44" s="294"/>
      <c r="E44" s="289"/>
      <c r="F44" s="289"/>
      <c r="G44" s="294"/>
      <c r="H44" s="702"/>
      <c r="I44" s="593"/>
      <c r="J44" s="297"/>
      <c r="K44" s="298"/>
      <c r="L44" s="299"/>
      <c r="M44" s="300"/>
      <c r="N44" s="301"/>
      <c r="O44" s="299"/>
      <c r="P44" s="299"/>
      <c r="Q44" s="302"/>
      <c r="R44" s="303"/>
      <c r="S44" s="304"/>
      <c r="T44" s="710"/>
      <c r="W44" s="953"/>
      <c r="X44" s="4"/>
      <c r="Z44" s="649"/>
      <c r="AA44" s="82"/>
    </row>
    <row r="45" spans="1:27" ht="20.100000000000001" hidden="1" customHeight="1" x14ac:dyDescent="0.25">
      <c r="A45" s="1284"/>
      <c r="B45" s="450">
        <v>1200</v>
      </c>
      <c r="C45" s="451">
        <v>600</v>
      </c>
      <c r="D45" s="452">
        <v>160</v>
      </c>
      <c r="E45" s="112">
        <v>74.074074074074076</v>
      </c>
      <c r="F45" s="711">
        <v>11.482216343327455</v>
      </c>
      <c r="G45" s="712" t="s">
        <v>244</v>
      </c>
      <c r="H45" s="113" t="s">
        <v>46</v>
      </c>
      <c r="I45" s="712"/>
      <c r="J45" s="178">
        <v>212.8896</v>
      </c>
      <c r="K45" s="453">
        <v>2</v>
      </c>
      <c r="L45" s="188">
        <v>1.44</v>
      </c>
      <c r="M45" s="190">
        <v>0.23039999999999999</v>
      </c>
      <c r="N45" s="453">
        <v>28</v>
      </c>
      <c r="O45" s="190">
        <v>6.4512</v>
      </c>
      <c r="P45" s="191">
        <v>70.963200000000001</v>
      </c>
      <c r="Q45" s="55"/>
      <c r="R45" s="687">
        <f>M45*S45</f>
        <v>1060.992</v>
      </c>
      <c r="S45" s="441">
        <v>4605</v>
      </c>
      <c r="T45" s="713">
        <v>651.54399999999998</v>
      </c>
      <c r="W45" s="953"/>
    </row>
    <row r="46" spans="1:27" ht="20.100000000000001" hidden="1" customHeight="1" x14ac:dyDescent="0.25">
      <c r="A46" s="1246"/>
      <c r="B46" s="12">
        <v>1200</v>
      </c>
      <c r="C46" s="13">
        <v>600</v>
      </c>
      <c r="D46" s="14">
        <v>170</v>
      </c>
      <c r="E46" s="107">
        <v>74.074074074074076</v>
      </c>
      <c r="F46" s="714">
        <v>10.806791852543487</v>
      </c>
      <c r="G46" s="715" t="s">
        <v>245</v>
      </c>
      <c r="H46" s="61" t="s">
        <v>46</v>
      </c>
      <c r="I46" s="715"/>
      <c r="J46" s="177">
        <v>226.1952</v>
      </c>
      <c r="K46" s="47">
        <v>2</v>
      </c>
      <c r="L46" s="188">
        <v>1.44</v>
      </c>
      <c r="M46" s="182">
        <v>0.24479999999999999</v>
      </c>
      <c r="N46" s="47">
        <v>28</v>
      </c>
      <c r="O46" s="182">
        <v>6.8544</v>
      </c>
      <c r="P46" s="192">
        <v>75.398399999999995</v>
      </c>
      <c r="Q46" s="48"/>
      <c r="R46" s="687">
        <f>M46*S46</f>
        <v>1127.3039999999999</v>
      </c>
      <c r="S46" s="100">
        <v>4605</v>
      </c>
      <c r="T46" s="716">
        <v>692.26549999999986</v>
      </c>
      <c r="W46" s="953"/>
    </row>
    <row r="47" spans="1:27" ht="20.100000000000001" hidden="1" customHeight="1" x14ac:dyDescent="0.25">
      <c r="A47" s="1246"/>
      <c r="B47" s="717">
        <v>1200</v>
      </c>
      <c r="C47" s="718">
        <v>600</v>
      </c>
      <c r="D47" s="719">
        <v>180</v>
      </c>
      <c r="E47" s="720">
        <v>74.074074074074076</v>
      </c>
      <c r="F47" s="720">
        <v>11.907483615302546</v>
      </c>
      <c r="G47" s="721" t="s">
        <v>162</v>
      </c>
      <c r="H47" s="722" t="s">
        <v>46</v>
      </c>
      <c r="I47" s="721"/>
      <c r="J47" s="723">
        <v>205.28639999999999</v>
      </c>
      <c r="K47" s="724">
        <v>2</v>
      </c>
      <c r="L47" s="725">
        <v>1.44</v>
      </c>
      <c r="M47" s="726">
        <v>0.25919999999999999</v>
      </c>
      <c r="N47" s="724">
        <v>24</v>
      </c>
      <c r="O47" s="726">
        <v>6.2207999999999997</v>
      </c>
      <c r="P47" s="727">
        <v>68.428799999999995</v>
      </c>
      <c r="Q47" s="728"/>
      <c r="R47" s="687">
        <f>M47*S47</f>
        <v>1193.616</v>
      </c>
      <c r="S47" s="729">
        <v>4605</v>
      </c>
      <c r="T47" s="730">
        <v>732.98699999999985</v>
      </c>
      <c r="W47" s="953"/>
    </row>
    <row r="48" spans="1:27" ht="20.100000000000001" hidden="1" customHeight="1" x14ac:dyDescent="0.25">
      <c r="A48" s="1246"/>
      <c r="B48" s="12">
        <v>1200</v>
      </c>
      <c r="C48" s="13">
        <v>600</v>
      </c>
      <c r="D48" s="14">
        <v>190</v>
      </c>
      <c r="E48" s="107">
        <v>74.074074074074076</v>
      </c>
      <c r="F48" s="714">
        <v>11.280773951339254</v>
      </c>
      <c r="G48" s="715" t="s">
        <v>246</v>
      </c>
      <c r="H48" s="61" t="s">
        <v>46</v>
      </c>
      <c r="I48" s="715"/>
      <c r="J48" s="177">
        <v>216.69120000000001</v>
      </c>
      <c r="K48" s="47">
        <v>2</v>
      </c>
      <c r="L48" s="188">
        <v>1.4400000000000002</v>
      </c>
      <c r="M48" s="182">
        <v>0.27360000000000001</v>
      </c>
      <c r="N48" s="47">
        <v>24</v>
      </c>
      <c r="O48" s="182">
        <v>6.5663999999999998</v>
      </c>
      <c r="P48" s="192">
        <v>72.230400000000003</v>
      </c>
      <c r="Q48" s="48"/>
      <c r="R48" s="687">
        <f>M48*S48</f>
        <v>1259.9280000000001</v>
      </c>
      <c r="S48" s="100">
        <v>4605</v>
      </c>
      <c r="T48" s="731">
        <v>773.70849999999984</v>
      </c>
      <c r="W48" s="953"/>
    </row>
    <row r="49" spans="1:23" ht="20.100000000000001" hidden="1" customHeight="1" x14ac:dyDescent="0.25">
      <c r="A49" s="1247"/>
      <c r="B49" s="732">
        <v>1200</v>
      </c>
      <c r="C49" s="733">
        <v>600</v>
      </c>
      <c r="D49" s="734">
        <v>200</v>
      </c>
      <c r="E49" s="735">
        <v>74.074074074074076</v>
      </c>
      <c r="F49" s="736">
        <v>10.716735253772292</v>
      </c>
      <c r="G49" s="737" t="s">
        <v>163</v>
      </c>
      <c r="H49" s="722" t="s">
        <v>46</v>
      </c>
      <c r="I49" s="738"/>
      <c r="J49" s="723">
        <v>228.09599999999995</v>
      </c>
      <c r="K49" s="739">
        <v>1</v>
      </c>
      <c r="L49" s="740">
        <v>0.72</v>
      </c>
      <c r="M49" s="741">
        <v>0.14399999999999999</v>
      </c>
      <c r="N49" s="739">
        <v>48</v>
      </c>
      <c r="O49" s="741">
        <v>6.911999999999999</v>
      </c>
      <c r="P49" s="742">
        <v>76.031999999999982</v>
      </c>
      <c r="Q49" s="743"/>
      <c r="R49" s="696">
        <f>M49*S49</f>
        <v>663.12</v>
      </c>
      <c r="S49" s="729">
        <v>4605</v>
      </c>
      <c r="T49" s="744">
        <v>814.42999999999984</v>
      </c>
      <c r="W49" s="953"/>
    </row>
    <row r="50" spans="1:23" ht="20.100000000000001" customHeight="1" x14ac:dyDescent="0.25">
      <c r="A50" s="8"/>
      <c r="B50" s="20"/>
      <c r="J50" s="138"/>
      <c r="U50" s="1029"/>
      <c r="W50" s="953"/>
    </row>
    <row r="51" spans="1:23" ht="18.75" customHeight="1" x14ac:dyDescent="0.25">
      <c r="A51" s="1" t="s">
        <v>7</v>
      </c>
      <c r="E51" s="2"/>
      <c r="F51" s="2"/>
      <c r="G51" s="2"/>
      <c r="H51" s="2"/>
      <c r="I51" s="2"/>
      <c r="J51" s="134"/>
      <c r="P51" s="1275" t="s">
        <v>21</v>
      </c>
      <c r="Q51" s="1275"/>
      <c r="R51" s="1275"/>
      <c r="S51" s="1275"/>
      <c r="T51" s="1275"/>
      <c r="W51" s="953"/>
    </row>
    <row r="52" spans="1:23" s="745" customFormat="1" ht="20.100000000000001" customHeight="1" x14ac:dyDescent="0.25">
      <c r="A52" s="471" t="s">
        <v>342</v>
      </c>
      <c r="K52" s="746"/>
      <c r="M52" s="747"/>
      <c r="N52" s="746"/>
      <c r="O52" s="748"/>
      <c r="P52" s="1244" t="s">
        <v>40</v>
      </c>
      <c r="Q52" s="1244"/>
      <c r="R52" s="1244"/>
      <c r="S52" s="1244"/>
      <c r="T52" s="1244"/>
      <c r="V52" s="953"/>
      <c r="W52" s="953"/>
    </row>
    <row r="53" spans="1:23" ht="20.100000000000001" customHeight="1" x14ac:dyDescent="0.25">
      <c r="A53" s="26" t="s">
        <v>438</v>
      </c>
      <c r="E53" s="2"/>
      <c r="F53" s="2"/>
      <c r="G53" s="2"/>
      <c r="H53" s="2"/>
      <c r="I53" s="2"/>
      <c r="J53" s="2"/>
      <c r="P53" s="1244" t="s">
        <v>39</v>
      </c>
      <c r="Q53" s="1244"/>
      <c r="R53" s="1244"/>
      <c r="S53" s="1244"/>
      <c r="T53" s="1244"/>
      <c r="W53" s="953"/>
    </row>
    <row r="54" spans="1:23" ht="20.100000000000001" customHeight="1" x14ac:dyDescent="0.25">
      <c r="A54" s="26" t="s">
        <v>24</v>
      </c>
      <c r="E54" s="2"/>
      <c r="F54" s="2"/>
      <c r="G54" s="2"/>
      <c r="H54" s="2"/>
      <c r="I54" s="2"/>
      <c r="J54" s="2"/>
      <c r="P54" s="1245" t="s">
        <v>37</v>
      </c>
      <c r="Q54" s="1245"/>
      <c r="R54" s="1245"/>
      <c r="S54" s="1245"/>
      <c r="T54" s="1245"/>
      <c r="W54" s="953"/>
    </row>
    <row r="55" spans="1:23" ht="20.100000000000001" customHeight="1" x14ac:dyDescent="0.25">
      <c r="A55" s="26" t="s">
        <v>52</v>
      </c>
      <c r="E55" s="2"/>
      <c r="F55" s="2"/>
      <c r="G55" s="2"/>
      <c r="H55" s="2"/>
      <c r="I55" s="2"/>
      <c r="J55" s="2"/>
      <c r="R55" s="1245" t="s">
        <v>38</v>
      </c>
      <c r="S55" s="1245"/>
      <c r="T55" s="1245"/>
      <c r="W55" s="953"/>
    </row>
    <row r="56" spans="1:23" ht="20.100000000000001" customHeight="1" x14ac:dyDescent="0.25">
      <c r="A56" s="30" t="s">
        <v>457</v>
      </c>
      <c r="E56" s="2"/>
      <c r="F56" s="4"/>
      <c r="G56" s="2"/>
      <c r="H56" s="2"/>
      <c r="I56" s="2"/>
      <c r="J56" s="5"/>
      <c r="L56" s="56"/>
      <c r="W56" s="953"/>
    </row>
    <row r="57" spans="1:23" ht="20.100000000000001" customHeight="1" x14ac:dyDescent="0.25">
      <c r="A57" s="30" t="s">
        <v>458</v>
      </c>
      <c r="E57" s="2"/>
      <c r="F57" s="4"/>
      <c r="G57" s="2"/>
      <c r="H57" s="2"/>
      <c r="I57" s="2"/>
      <c r="J57" s="5"/>
      <c r="L57" s="56"/>
      <c r="W57" s="953"/>
    </row>
    <row r="58" spans="1:23" ht="20.100000000000001" customHeight="1" x14ac:dyDescent="0.25">
      <c r="A58" s="30" t="s">
        <v>241</v>
      </c>
      <c r="E58" s="2"/>
      <c r="F58" s="4"/>
      <c r="G58" s="2"/>
      <c r="H58" s="2"/>
      <c r="I58" s="2"/>
      <c r="J58" s="5"/>
      <c r="L58" s="56"/>
      <c r="W58" s="953"/>
    </row>
    <row r="59" spans="1:23" ht="20.100000000000001" customHeight="1" x14ac:dyDescent="0.25">
      <c r="A59" s="30"/>
      <c r="E59" s="4"/>
      <c r="F59" s="2"/>
      <c r="G59" s="2"/>
      <c r="H59" s="2"/>
      <c r="I59" s="2"/>
      <c r="J59" s="5"/>
      <c r="L59" s="56"/>
      <c r="W59" s="953"/>
    </row>
    <row r="60" spans="1:23" ht="20.100000000000001" customHeight="1" x14ac:dyDescent="0.25">
      <c r="A60" s="30"/>
      <c r="E60" s="4"/>
      <c r="F60" s="2"/>
      <c r="G60" s="2"/>
      <c r="H60" s="2"/>
      <c r="I60" s="2"/>
      <c r="J60" s="5"/>
      <c r="L60" s="56"/>
      <c r="W60" s="953"/>
    </row>
    <row r="61" spans="1:23" ht="20.100000000000001" customHeight="1" x14ac:dyDescent="0.25">
      <c r="A61" s="31"/>
      <c r="E61" s="2"/>
      <c r="F61" s="2"/>
      <c r="G61" s="2"/>
      <c r="H61" s="2"/>
      <c r="I61" s="2"/>
      <c r="J61" s="2"/>
      <c r="W61" s="953"/>
    </row>
    <row r="62" spans="1:23" ht="20.100000000000001" customHeight="1" x14ac:dyDescent="0.25">
      <c r="E62" s="2"/>
      <c r="F62" s="2"/>
      <c r="G62" s="2"/>
      <c r="H62" s="2"/>
      <c r="I62" s="2"/>
      <c r="J62" s="2"/>
      <c r="W62" s="953"/>
    </row>
    <row r="63" spans="1:23" ht="19.5" customHeight="1" x14ac:dyDescent="0.25">
      <c r="A63" s="2"/>
      <c r="E63" s="2"/>
      <c r="F63" s="2"/>
      <c r="G63" s="2"/>
      <c r="H63" s="2"/>
      <c r="I63" s="2"/>
      <c r="J63" s="2"/>
      <c r="W63" s="953"/>
    </row>
    <row r="64" spans="1:23" ht="20.100000000000001" customHeight="1" x14ac:dyDescent="0.25">
      <c r="A64" s="2"/>
      <c r="E64" s="2"/>
      <c r="F64" s="2"/>
      <c r="G64" s="2"/>
      <c r="H64" s="2"/>
      <c r="I64" s="2"/>
      <c r="J64" s="2"/>
      <c r="W64" s="953"/>
    </row>
    <row r="65" spans="1:23" ht="20.100000000000001" customHeight="1" x14ac:dyDescent="0.25">
      <c r="A65" s="2"/>
      <c r="C65" s="19"/>
      <c r="D65" s="20"/>
      <c r="E65" s="20"/>
      <c r="F65" s="20"/>
      <c r="G65" s="20"/>
      <c r="H65" s="20"/>
      <c r="I65" s="20"/>
      <c r="J65" s="20"/>
      <c r="K65" s="21"/>
      <c r="L65" s="20"/>
      <c r="M65" s="22"/>
      <c r="N65" s="69"/>
      <c r="O65" s="60"/>
      <c r="P65" s="20"/>
      <c r="Q65" s="22"/>
      <c r="R65" s="22"/>
      <c r="S65" s="22"/>
      <c r="T65" s="22"/>
      <c r="W65" s="953"/>
    </row>
    <row r="66" spans="1:23" ht="20.100000000000001" customHeight="1" x14ac:dyDescent="0.25">
      <c r="C66" s="23"/>
      <c r="D66" s="20"/>
      <c r="E66" s="20"/>
      <c r="F66" s="20"/>
      <c r="G66" s="20"/>
      <c r="H66" s="20"/>
      <c r="I66" s="20"/>
      <c r="J66" s="20"/>
      <c r="K66" s="21"/>
      <c r="L66" s="20"/>
      <c r="M66" s="24"/>
      <c r="N66" s="70"/>
      <c r="O66" s="60"/>
      <c r="P66" s="20"/>
      <c r="Q66" s="24"/>
      <c r="R66" s="24"/>
      <c r="S66" s="24"/>
      <c r="T66" s="24"/>
      <c r="W66" s="953"/>
    </row>
    <row r="67" spans="1:23" ht="20.100000000000001" customHeight="1" x14ac:dyDescent="0.25">
      <c r="C67" s="23"/>
      <c r="D67" s="20"/>
      <c r="E67" s="20"/>
      <c r="F67" s="20"/>
      <c r="G67" s="20"/>
      <c r="H67" s="20"/>
      <c r="I67" s="20"/>
      <c r="J67" s="20"/>
      <c r="K67" s="21"/>
      <c r="L67" s="20"/>
      <c r="M67" s="24"/>
      <c r="N67" s="70"/>
      <c r="O67" s="60"/>
      <c r="P67" s="20"/>
      <c r="Q67" s="24"/>
      <c r="R67" s="24"/>
      <c r="S67" s="24"/>
      <c r="T67" s="24"/>
      <c r="W67" s="953"/>
    </row>
    <row r="68" spans="1:23" x14ac:dyDescent="0.25">
      <c r="W68" s="953"/>
    </row>
    <row r="69" spans="1:23" x14ac:dyDescent="0.25">
      <c r="B69" s="25"/>
      <c r="W69" s="953"/>
    </row>
    <row r="70" spans="1:23" x14ac:dyDescent="0.25">
      <c r="W70" s="953"/>
    </row>
    <row r="71" spans="1:23" x14ac:dyDescent="0.25">
      <c r="W71" s="953"/>
    </row>
  </sheetData>
  <mergeCells count="20">
    <mergeCell ref="P51:T51"/>
    <mergeCell ref="P52:T52"/>
    <mergeCell ref="P53:T53"/>
    <mergeCell ref="P54:T54"/>
    <mergeCell ref="R55:T55"/>
    <mergeCell ref="A45:A49"/>
    <mergeCell ref="A4:T4"/>
    <mergeCell ref="G6:G7"/>
    <mergeCell ref="J6:J7"/>
    <mergeCell ref="K6:M6"/>
    <mergeCell ref="N6:O6"/>
    <mergeCell ref="P6:Q6"/>
    <mergeCell ref="R6:T6"/>
    <mergeCell ref="A6:A7"/>
    <mergeCell ref="B6:B7"/>
    <mergeCell ref="C6:C7"/>
    <mergeCell ref="D6:D7"/>
    <mergeCell ref="E6:E7"/>
    <mergeCell ref="H6:H7"/>
    <mergeCell ref="I6:I7"/>
  </mergeCells>
  <hyperlinks>
    <hyperlink ref="P54" r:id="rId1"/>
    <hyperlink ref="R55" r:id="rId2"/>
  </hyperlinks>
  <printOptions horizontalCentered="1"/>
  <pageMargins left="0.19685039370078741" right="0.19685039370078741" top="0.39370078740157483" bottom="0" header="0" footer="0"/>
  <pageSetup paperSize="9" scale="40" orientation="portrait" verticalDpi="1" r:id="rId3"/>
  <headerFooter alignWithMargins="0"/>
  <drawing r:id="rId4"/>
  <legacyDrawing r:id="rId5"/>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Y68"/>
  <sheetViews>
    <sheetView showGridLines="0" view="pageBreakPreview" zoomScale="74" zoomScaleNormal="100" zoomScaleSheetLayoutView="74" workbookViewId="0">
      <pane xSplit="1" ySplit="7" topLeftCell="B38" activePane="bottomRight" state="frozen"/>
      <selection sqref="A1:IV65536"/>
      <selection pane="topRight" sqref="A1:IV65536"/>
      <selection pane="bottomLeft" sqref="A1:IV65536"/>
      <selection pane="bottomRight" activeCell="R48" sqref="R48"/>
    </sheetView>
  </sheetViews>
  <sheetFormatPr defaultColWidth="11.42578125" defaultRowHeight="18" x14ac:dyDescent="0.25"/>
  <cols>
    <col min="1" max="1" width="44.85546875" style="3" customWidth="1"/>
    <col min="2" max="4" width="9.7109375" style="2" customWidth="1"/>
    <col min="5" max="5" width="6.140625" style="71" customWidth="1"/>
    <col min="6" max="7" width="10.7109375" style="71" hidden="1" customWidth="1"/>
    <col min="8" max="8" width="16.28515625" style="71" customWidth="1"/>
    <col min="9" max="9" width="10.7109375" style="71" customWidth="1"/>
    <col min="10" max="10" width="11.5703125" style="4" customWidth="1"/>
    <col min="11" max="11" width="11.5703125" style="2" customWidth="1"/>
    <col min="12" max="12" width="11.5703125" style="5" customWidth="1"/>
    <col min="13" max="13" width="11.5703125" style="4" customWidth="1"/>
    <col min="14" max="14" width="11.5703125" style="56" customWidth="1"/>
    <col min="15" max="15" width="12.85546875" style="2" customWidth="1"/>
    <col min="16" max="16" width="13.42578125" style="5" customWidth="1"/>
    <col min="17" max="17" width="13.85546875" style="2" customWidth="1"/>
    <col min="18" max="18" width="13.5703125" style="2" customWidth="1"/>
    <col min="19" max="19" width="15.140625" style="2" customWidth="1"/>
    <col min="20" max="20" width="11.42578125" style="2"/>
    <col min="21" max="21" width="11.42578125" style="79"/>
    <col min="22" max="22" width="5.7109375" style="79" customWidth="1"/>
    <col min="23" max="23" width="10.7109375" style="86" customWidth="1"/>
    <col min="24" max="24" width="11.42578125" style="79"/>
    <col min="25" max="25" width="9.140625" customWidth="1"/>
    <col min="26" max="16384" width="11.42578125" style="2"/>
  </cols>
  <sheetData>
    <row r="1" spans="1:25" ht="26.25" x14ac:dyDescent="0.4">
      <c r="A1" s="75" t="s">
        <v>19</v>
      </c>
    </row>
    <row r="2" spans="1:25" s="27" customFormat="1" ht="26.25" x14ac:dyDescent="0.4">
      <c r="A2" s="75" t="s">
        <v>20</v>
      </c>
      <c r="E2" s="72"/>
      <c r="F2" s="72"/>
      <c r="G2" s="72"/>
      <c r="H2" s="72"/>
      <c r="I2" s="72"/>
      <c r="J2" s="28"/>
      <c r="L2" s="29"/>
      <c r="M2" s="28"/>
      <c r="N2" s="57"/>
      <c r="P2" s="29"/>
      <c r="U2" s="2"/>
      <c r="V2" s="2"/>
      <c r="W2" s="82"/>
      <c r="X2" s="2"/>
    </row>
    <row r="3" spans="1:25" s="27" customFormat="1" ht="60" customHeight="1" x14ac:dyDescent="0.4">
      <c r="A3" s="2" t="s">
        <v>53</v>
      </c>
      <c r="E3" s="72"/>
      <c r="F3" s="72"/>
      <c r="G3" s="72"/>
      <c r="H3" s="72"/>
      <c r="I3" s="72"/>
      <c r="J3" s="28"/>
      <c r="L3" s="29"/>
      <c r="M3" s="28"/>
      <c r="N3" s="57"/>
      <c r="P3" s="29"/>
      <c r="U3" s="2"/>
      <c r="V3" s="2"/>
      <c r="W3" s="82"/>
      <c r="X3" s="2"/>
    </row>
    <row r="4" spans="1:25" x14ac:dyDescent="0.25">
      <c r="A4" s="1248" t="str">
        <f>'ЛАЙТ Рязань'!A4</f>
        <v>03.03.2011г.</v>
      </c>
      <c r="B4" s="1249"/>
      <c r="C4" s="1249"/>
      <c r="D4" s="1249"/>
      <c r="E4" s="1249"/>
      <c r="F4" s="1249"/>
      <c r="G4" s="1249"/>
      <c r="H4" s="1249"/>
      <c r="I4" s="1249"/>
      <c r="J4" s="1249"/>
      <c r="K4" s="1249"/>
      <c r="L4" s="1249"/>
      <c r="M4" s="1249"/>
      <c r="N4" s="1249"/>
      <c r="O4" s="1249"/>
      <c r="P4" s="1249"/>
      <c r="Q4" s="1249"/>
      <c r="R4" s="1249"/>
      <c r="S4" s="1249"/>
      <c r="T4" s="7"/>
    </row>
    <row r="5" spans="1:25" ht="18.75" thickBot="1" x14ac:dyDescent="0.3">
      <c r="A5" s="6"/>
      <c r="B5" s="7"/>
      <c r="C5" s="7"/>
      <c r="D5" s="7"/>
      <c r="E5" s="73"/>
      <c r="F5" s="73"/>
      <c r="G5" s="73"/>
      <c r="H5" s="73"/>
      <c r="I5" s="73"/>
      <c r="J5" s="7"/>
      <c r="K5" s="7"/>
      <c r="L5" s="7"/>
      <c r="M5" s="67"/>
      <c r="N5" s="58"/>
      <c r="O5" s="7"/>
      <c r="P5" s="7"/>
      <c r="Q5" s="7"/>
      <c r="R5" s="7"/>
      <c r="S5" s="7"/>
      <c r="T5" s="7"/>
    </row>
    <row r="6" spans="1:25" ht="72.75" customHeight="1" thickBot="1" x14ac:dyDescent="0.3">
      <c r="A6" s="1250" t="s">
        <v>0</v>
      </c>
      <c r="B6" s="1252" t="s">
        <v>1</v>
      </c>
      <c r="C6" s="1254" t="s">
        <v>2</v>
      </c>
      <c r="D6" s="1256" t="s">
        <v>3</v>
      </c>
      <c r="E6" s="1260" t="s">
        <v>36</v>
      </c>
      <c r="F6" s="1260" t="s">
        <v>56</v>
      </c>
      <c r="G6" s="109"/>
      <c r="H6" s="1260" t="s">
        <v>133</v>
      </c>
      <c r="I6" s="1260" t="s">
        <v>56</v>
      </c>
      <c r="J6" s="1276" t="s">
        <v>49</v>
      </c>
      <c r="K6" s="1277"/>
      <c r="L6" s="1278"/>
      <c r="M6" s="1273" t="s">
        <v>48</v>
      </c>
      <c r="N6" s="1274"/>
      <c r="O6" s="1265" t="s">
        <v>44</v>
      </c>
      <c r="P6" s="1266"/>
      <c r="Q6" s="1264" t="s">
        <v>340</v>
      </c>
      <c r="R6" s="1265"/>
      <c r="S6" s="1266"/>
    </row>
    <row r="7" spans="1:25" ht="38.25" customHeight="1" thickBot="1" x14ac:dyDescent="0.3">
      <c r="A7" s="1251"/>
      <c r="B7" s="1253"/>
      <c r="C7" s="1255"/>
      <c r="D7" s="1257"/>
      <c r="E7" s="1263"/>
      <c r="F7" s="1262"/>
      <c r="G7" s="110"/>
      <c r="H7" s="1263"/>
      <c r="I7" s="1262"/>
      <c r="J7" s="472" t="s">
        <v>5</v>
      </c>
      <c r="K7" s="480" t="s">
        <v>17</v>
      </c>
      <c r="L7" s="481" t="s">
        <v>18</v>
      </c>
      <c r="M7" s="475" t="s">
        <v>47</v>
      </c>
      <c r="N7" s="476" t="s">
        <v>18</v>
      </c>
      <c r="O7" s="482" t="s">
        <v>43</v>
      </c>
      <c r="P7" s="476" t="s">
        <v>42</v>
      </c>
      <c r="Q7" s="458" t="s">
        <v>6</v>
      </c>
      <c r="R7" s="54" t="s">
        <v>18</v>
      </c>
      <c r="S7" s="41" t="s">
        <v>22</v>
      </c>
      <c r="U7" s="2"/>
      <c r="V7" s="2"/>
      <c r="W7" s="82"/>
      <c r="X7" s="2"/>
    </row>
    <row r="8" spans="1:25" ht="24.95" customHeight="1" thickBot="1" x14ac:dyDescent="0.3">
      <c r="A8" s="35" t="s">
        <v>55</v>
      </c>
      <c r="B8" s="9">
        <v>1200</v>
      </c>
      <c r="C8" s="10">
        <v>600</v>
      </c>
      <c r="D8" s="11">
        <v>50</v>
      </c>
      <c r="E8" s="61" t="s">
        <v>238</v>
      </c>
      <c r="F8" s="106"/>
      <c r="G8" s="106"/>
      <c r="H8" s="210" t="s">
        <v>180</v>
      </c>
      <c r="I8" s="177" t="str">
        <f>IF(E8="C",ROUNDUP(5500/115/КровляDDP!O8,0)*КровляDDP!O8," ")</f>
        <v xml:space="preserve"> </v>
      </c>
      <c r="J8" s="45">
        <v>6</v>
      </c>
      <c r="K8" s="181">
        <v>4.32</v>
      </c>
      <c r="L8" s="198">
        <v>0.216</v>
      </c>
      <c r="M8" s="45">
        <v>32</v>
      </c>
      <c r="N8" s="179">
        <v>6.9119999999999999</v>
      </c>
      <c r="O8" s="179">
        <v>76.031999999999996</v>
      </c>
      <c r="P8" s="46"/>
      <c r="Q8" s="88">
        <f>L8*R8</f>
        <v>1102.0319999999999</v>
      </c>
      <c r="R8" s="1165">
        <v>5102</v>
      </c>
      <c r="S8" s="101">
        <f>R8*D8/1000</f>
        <v>255.1</v>
      </c>
      <c r="U8" s="4"/>
      <c r="V8" s="2"/>
      <c r="W8" s="82"/>
      <c r="X8" s="4"/>
      <c r="Y8" s="2"/>
    </row>
    <row r="9" spans="1:25" ht="24.95" customHeight="1" thickBot="1" x14ac:dyDescent="0.3">
      <c r="A9" s="1297" t="s">
        <v>28</v>
      </c>
      <c r="B9" s="203">
        <v>1200</v>
      </c>
      <c r="C9" s="204">
        <v>600</v>
      </c>
      <c r="D9" s="209">
        <v>60</v>
      </c>
      <c r="E9" s="238" t="s">
        <v>339</v>
      </c>
      <c r="F9" s="263"/>
      <c r="G9" s="263"/>
      <c r="H9" s="264" t="s">
        <v>181</v>
      </c>
      <c r="I9" s="177">
        <f>IF(E9="C",ROUNDUP(5500/115/КровляDDP!O9,0)*КровляDDP!O9," ")</f>
        <v>48.383999999999993</v>
      </c>
      <c r="J9" s="97">
        <v>4</v>
      </c>
      <c r="K9" s="166">
        <v>2.8800000000000003</v>
      </c>
      <c r="L9" s="169">
        <v>0.17280000000000001</v>
      </c>
      <c r="M9" s="97">
        <v>40</v>
      </c>
      <c r="N9" s="166">
        <v>6.9120000000000008</v>
      </c>
      <c r="O9" s="166">
        <v>76.032000000000011</v>
      </c>
      <c r="P9" s="266"/>
      <c r="Q9" s="88">
        <f t="shared" ref="Q9:Q49" si="0">L9*R9</f>
        <v>881.62560000000008</v>
      </c>
      <c r="R9" s="1165">
        <f>R8</f>
        <v>5102</v>
      </c>
      <c r="S9" s="101">
        <f t="shared" ref="S9:S49" si="1">R9*D9/1000</f>
        <v>306.12</v>
      </c>
      <c r="U9" s="4"/>
      <c r="V9" s="2"/>
      <c r="W9" s="82"/>
      <c r="X9" s="4"/>
      <c r="Y9" s="2"/>
    </row>
    <row r="10" spans="1:25" ht="24.95" customHeight="1" thickBot="1" x14ac:dyDescent="0.3">
      <c r="A10" s="1297"/>
      <c r="B10" s="203">
        <v>1200</v>
      </c>
      <c r="C10" s="204">
        <v>600</v>
      </c>
      <c r="D10" s="209">
        <v>70</v>
      </c>
      <c r="E10" s="238" t="s">
        <v>339</v>
      </c>
      <c r="F10" s="263"/>
      <c r="G10" s="263"/>
      <c r="H10" s="264" t="s">
        <v>182</v>
      </c>
      <c r="I10" s="177">
        <f>IF(E10="C",ROUNDUP(5500/115/КровляDDP!O10,0)*КровляDDP!O10," ")</f>
        <v>51.6096</v>
      </c>
      <c r="J10" s="97">
        <v>4</v>
      </c>
      <c r="K10" s="166">
        <v>2.8800000000000003</v>
      </c>
      <c r="L10" s="169">
        <v>0.2016</v>
      </c>
      <c r="M10" s="97">
        <v>32</v>
      </c>
      <c r="N10" s="166">
        <v>6.4512</v>
      </c>
      <c r="O10" s="166">
        <v>70.963200000000001</v>
      </c>
      <c r="P10" s="266"/>
      <c r="Q10" s="88">
        <f t="shared" si="0"/>
        <v>1028.5632000000001</v>
      </c>
      <c r="R10" s="1165">
        <f t="shared" ref="R10:R20" si="2">R9</f>
        <v>5102</v>
      </c>
      <c r="S10" s="101">
        <f t="shared" si="1"/>
        <v>357.14</v>
      </c>
      <c r="U10" s="4"/>
      <c r="V10" s="2"/>
      <c r="W10" s="82"/>
      <c r="X10" s="4"/>
      <c r="Y10" s="2"/>
    </row>
    <row r="11" spans="1:25" ht="24.95" customHeight="1" thickBot="1" x14ac:dyDescent="0.3">
      <c r="A11" s="1297"/>
      <c r="B11" s="203">
        <v>1200</v>
      </c>
      <c r="C11" s="204">
        <v>600</v>
      </c>
      <c r="D11" s="209">
        <v>80</v>
      </c>
      <c r="E11" s="238" t="s">
        <v>339</v>
      </c>
      <c r="F11" s="263">
        <v>100</v>
      </c>
      <c r="G11" s="263">
        <v>14.467592592592592</v>
      </c>
      <c r="H11" s="264" t="s">
        <v>183</v>
      </c>
      <c r="I11" s="177">
        <f>IF(E11="C",ROUNDUP(5500/115/КровляDDP!O11,0)*КровляDDP!O11," ")</f>
        <v>48.384000000000007</v>
      </c>
      <c r="J11" s="97">
        <v>3</v>
      </c>
      <c r="K11" s="166">
        <v>2.16</v>
      </c>
      <c r="L11" s="169">
        <v>0.17280000000000001</v>
      </c>
      <c r="M11" s="97">
        <v>40</v>
      </c>
      <c r="N11" s="166">
        <v>6.9120000000000008</v>
      </c>
      <c r="O11" s="166">
        <v>76.032000000000011</v>
      </c>
      <c r="P11" s="266"/>
      <c r="Q11" s="88">
        <f t="shared" si="0"/>
        <v>881.62560000000008</v>
      </c>
      <c r="R11" s="1165">
        <f t="shared" si="2"/>
        <v>5102</v>
      </c>
      <c r="S11" s="101">
        <f t="shared" si="1"/>
        <v>408.16</v>
      </c>
      <c r="U11" s="4"/>
      <c r="V11" s="2"/>
      <c r="W11" s="82"/>
      <c r="X11" s="4"/>
      <c r="Y11" s="2"/>
    </row>
    <row r="12" spans="1:25" ht="24.95" customHeight="1" thickBot="1" x14ac:dyDescent="0.3">
      <c r="A12" s="1297"/>
      <c r="B12" s="203">
        <v>1200</v>
      </c>
      <c r="C12" s="204">
        <v>600</v>
      </c>
      <c r="D12" s="209">
        <v>90</v>
      </c>
      <c r="E12" s="238" t="s">
        <v>339</v>
      </c>
      <c r="F12" s="263">
        <v>100</v>
      </c>
      <c r="G12" s="263">
        <v>16.075102880658438</v>
      </c>
      <c r="H12" s="264" t="s">
        <v>184</v>
      </c>
      <c r="I12" s="177">
        <f>IF(E12="C",ROUNDUP(5500/115/КровляDDP!O12,0)*КровляDDP!O12," ")</f>
        <v>49.766400000000004</v>
      </c>
      <c r="J12" s="97">
        <v>3</v>
      </c>
      <c r="K12" s="166">
        <v>2.16</v>
      </c>
      <c r="L12" s="169">
        <v>0.19439999999999999</v>
      </c>
      <c r="M12" s="97">
        <v>32</v>
      </c>
      <c r="N12" s="166">
        <v>6.2207999999999997</v>
      </c>
      <c r="O12" s="166">
        <v>68.428799999999995</v>
      </c>
      <c r="P12" s="266"/>
      <c r="Q12" s="88">
        <f t="shared" si="0"/>
        <v>991.8288</v>
      </c>
      <c r="R12" s="1165">
        <f t="shared" si="2"/>
        <v>5102</v>
      </c>
      <c r="S12" s="101">
        <f t="shared" si="1"/>
        <v>459.18</v>
      </c>
      <c r="U12" s="4"/>
      <c r="V12" s="2"/>
      <c r="W12" s="82"/>
      <c r="X12" s="4"/>
      <c r="Y12" s="2"/>
    </row>
    <row r="13" spans="1:25" ht="24.95" customHeight="1" thickBot="1" x14ac:dyDescent="0.3">
      <c r="A13" s="1297"/>
      <c r="B13" s="203">
        <v>1200</v>
      </c>
      <c r="C13" s="204">
        <v>600</v>
      </c>
      <c r="D13" s="209">
        <v>100</v>
      </c>
      <c r="E13" s="238" t="s">
        <v>239</v>
      </c>
      <c r="F13" s="263"/>
      <c r="G13" s="263">
        <v>0</v>
      </c>
      <c r="H13" s="264" t="s">
        <v>185</v>
      </c>
      <c r="I13" s="177" t="str">
        <f>IF(E13="C",ROUNDUP(5500/115/КровляDDP!O13,0)*КровляDDP!O13," ")</f>
        <v xml:space="preserve"> </v>
      </c>
      <c r="J13" s="97">
        <v>3</v>
      </c>
      <c r="K13" s="166">
        <v>2.16</v>
      </c>
      <c r="L13" s="169">
        <v>0.216</v>
      </c>
      <c r="M13" s="97">
        <v>32</v>
      </c>
      <c r="N13" s="166">
        <v>6.9119999999999999</v>
      </c>
      <c r="O13" s="166">
        <v>76.031999999999996</v>
      </c>
      <c r="P13" s="266"/>
      <c r="Q13" s="88">
        <f t="shared" si="0"/>
        <v>1102.0319999999999</v>
      </c>
      <c r="R13" s="1165">
        <f t="shared" si="2"/>
        <v>5102</v>
      </c>
      <c r="S13" s="101">
        <f t="shared" si="1"/>
        <v>510.2</v>
      </c>
      <c r="U13" s="4"/>
      <c r="V13" s="2"/>
      <c r="W13" s="82"/>
      <c r="X13" s="4"/>
      <c r="Y13" s="2"/>
    </row>
    <row r="14" spans="1:25" ht="24.95" customHeight="1" thickBot="1" x14ac:dyDescent="0.3">
      <c r="A14" s="1297"/>
      <c r="B14" s="203">
        <v>1200</v>
      </c>
      <c r="C14" s="204">
        <v>600</v>
      </c>
      <c r="D14" s="209">
        <v>110</v>
      </c>
      <c r="E14" s="238" t="s">
        <v>339</v>
      </c>
      <c r="F14" s="263">
        <v>100</v>
      </c>
      <c r="G14" s="263">
        <v>15.031265031265031</v>
      </c>
      <c r="H14" s="264" t="s">
        <v>186</v>
      </c>
      <c r="I14" s="177">
        <f>IF(E14="C",ROUNDUP(5500/115/КровляDDP!O14,0)*КровляDDP!O14," ")</f>
        <v>53.222400000000007</v>
      </c>
      <c r="J14" s="97">
        <v>3</v>
      </c>
      <c r="K14" s="166">
        <v>2.16</v>
      </c>
      <c r="L14" s="169">
        <v>0.23760000000000001</v>
      </c>
      <c r="M14" s="97">
        <v>28</v>
      </c>
      <c r="N14" s="166">
        <v>6.6528</v>
      </c>
      <c r="O14" s="166">
        <v>73.180800000000005</v>
      </c>
      <c r="P14" s="266"/>
      <c r="Q14" s="88">
        <f t="shared" si="0"/>
        <v>1212.2352000000001</v>
      </c>
      <c r="R14" s="1165">
        <f t="shared" si="2"/>
        <v>5102</v>
      </c>
      <c r="S14" s="101">
        <f t="shared" si="1"/>
        <v>561.22</v>
      </c>
      <c r="U14" s="4"/>
      <c r="V14" s="2"/>
      <c r="W14" s="82"/>
      <c r="X14" s="4"/>
      <c r="Y14" s="2"/>
    </row>
    <row r="15" spans="1:25" ht="24.95" customHeight="1" thickBot="1" x14ac:dyDescent="0.3">
      <c r="A15" s="1297"/>
      <c r="B15" s="203">
        <v>1200</v>
      </c>
      <c r="C15" s="204">
        <v>600</v>
      </c>
      <c r="D15" s="209">
        <v>120</v>
      </c>
      <c r="E15" s="238" t="s">
        <v>339</v>
      </c>
      <c r="F15" s="263">
        <v>100</v>
      </c>
      <c r="G15" s="263">
        <v>14.467592592592592</v>
      </c>
      <c r="H15" s="264" t="s">
        <v>187</v>
      </c>
      <c r="I15" s="177">
        <f>IF(E15="C",ROUNDUP(5500/115/КровляDDP!O15,0)*КровляDDP!O15," ")</f>
        <v>48.383999999999993</v>
      </c>
      <c r="J15" s="97">
        <v>2</v>
      </c>
      <c r="K15" s="166">
        <v>1.4400000000000002</v>
      </c>
      <c r="L15" s="169">
        <v>0.17280000000000001</v>
      </c>
      <c r="M15" s="97">
        <v>40</v>
      </c>
      <c r="N15" s="166">
        <v>6.9120000000000008</v>
      </c>
      <c r="O15" s="166">
        <v>76.032000000000011</v>
      </c>
      <c r="P15" s="266"/>
      <c r="Q15" s="88">
        <f t="shared" si="0"/>
        <v>881.62560000000008</v>
      </c>
      <c r="R15" s="1165">
        <f t="shared" si="2"/>
        <v>5102</v>
      </c>
      <c r="S15" s="101">
        <f t="shared" si="1"/>
        <v>612.24</v>
      </c>
      <c r="U15" s="4"/>
      <c r="V15" s="2"/>
      <c r="W15" s="82"/>
      <c r="X15" s="4"/>
      <c r="Y15" s="2"/>
    </row>
    <row r="16" spans="1:25" ht="24.95" customHeight="1" thickBot="1" x14ac:dyDescent="0.3">
      <c r="A16" s="1297"/>
      <c r="B16" s="203">
        <v>1200</v>
      </c>
      <c r="C16" s="204">
        <v>600</v>
      </c>
      <c r="D16" s="209">
        <v>130</v>
      </c>
      <c r="E16" s="238" t="s">
        <v>339</v>
      </c>
      <c r="F16" s="263">
        <v>100</v>
      </c>
      <c r="G16" s="263">
        <v>14.83855650522317</v>
      </c>
      <c r="H16" s="264" t="s">
        <v>188</v>
      </c>
      <c r="I16" s="177">
        <f>IF(E16="C",ROUNDUP(5500/115/КровляDDP!O16,0)*КровляDDP!O16," ")</f>
        <v>53.913599999999995</v>
      </c>
      <c r="J16" s="97">
        <v>2</v>
      </c>
      <c r="K16" s="166">
        <v>1.4400000000000002</v>
      </c>
      <c r="L16" s="169">
        <v>0.18720000000000001</v>
      </c>
      <c r="M16" s="97">
        <v>36</v>
      </c>
      <c r="N16" s="166">
        <v>6.7392000000000003</v>
      </c>
      <c r="O16" s="166">
        <v>74.131200000000007</v>
      </c>
      <c r="P16" s="266"/>
      <c r="Q16" s="88">
        <f t="shared" si="0"/>
        <v>955.09440000000006</v>
      </c>
      <c r="R16" s="1165">
        <f t="shared" si="2"/>
        <v>5102</v>
      </c>
      <c r="S16" s="101">
        <f t="shared" si="1"/>
        <v>663.26</v>
      </c>
      <c r="U16" s="4"/>
      <c r="V16" s="2"/>
      <c r="W16" s="82"/>
      <c r="X16" s="4"/>
      <c r="Y16" s="2"/>
    </row>
    <row r="17" spans="1:25" ht="24.95" customHeight="1" thickBot="1" x14ac:dyDescent="0.3">
      <c r="A17" s="1297"/>
      <c r="B17" s="203">
        <v>1200</v>
      </c>
      <c r="C17" s="204">
        <v>600</v>
      </c>
      <c r="D17" s="209">
        <v>140</v>
      </c>
      <c r="E17" s="238" t="s">
        <v>339</v>
      </c>
      <c r="F17" s="263">
        <v>100</v>
      </c>
      <c r="G17" s="263">
        <v>15.500992063492063</v>
      </c>
      <c r="H17" s="264" t="s">
        <v>189</v>
      </c>
      <c r="I17" s="177">
        <f>IF(E17="C",ROUNDUP(5500/115/КровляDDP!O17,0)*КровляDDP!O17," ")</f>
        <v>51.6096</v>
      </c>
      <c r="J17" s="97">
        <v>2</v>
      </c>
      <c r="K17" s="166">
        <v>1.4400000000000002</v>
      </c>
      <c r="L17" s="169">
        <v>0.2016</v>
      </c>
      <c r="M17" s="97">
        <v>32</v>
      </c>
      <c r="N17" s="166">
        <v>6.4512</v>
      </c>
      <c r="O17" s="166">
        <v>70.963200000000001</v>
      </c>
      <c r="P17" s="266"/>
      <c r="Q17" s="88">
        <f t="shared" si="0"/>
        <v>1028.5632000000001</v>
      </c>
      <c r="R17" s="1165">
        <f t="shared" si="2"/>
        <v>5102</v>
      </c>
      <c r="S17" s="101">
        <f t="shared" si="1"/>
        <v>714.28</v>
      </c>
      <c r="U17" s="4"/>
      <c r="V17" s="2"/>
      <c r="W17" s="82"/>
      <c r="X17" s="4"/>
      <c r="Y17" s="2"/>
    </row>
    <row r="18" spans="1:25" ht="24.95" customHeight="1" thickBot="1" x14ac:dyDescent="0.3">
      <c r="A18" s="1297"/>
      <c r="B18" s="203">
        <v>1200</v>
      </c>
      <c r="C18" s="204">
        <v>600</v>
      </c>
      <c r="D18" s="209">
        <v>150</v>
      </c>
      <c r="E18" s="238" t="s">
        <v>339</v>
      </c>
      <c r="F18" s="263">
        <v>100</v>
      </c>
      <c r="G18" s="263">
        <v>14.467592592592593</v>
      </c>
      <c r="H18" s="264" t="s">
        <v>190</v>
      </c>
      <c r="I18" s="177">
        <f>IF(E18="C",ROUNDUP(5500/115/КровляDDP!O18,0)*КровляDDP!O18," ")</f>
        <v>48.384</v>
      </c>
      <c r="J18" s="97">
        <v>2</v>
      </c>
      <c r="K18" s="166">
        <v>1.4400000000000002</v>
      </c>
      <c r="L18" s="169">
        <v>0.216</v>
      </c>
      <c r="M18" s="97">
        <v>32</v>
      </c>
      <c r="N18" s="166">
        <v>6.9119999999999999</v>
      </c>
      <c r="O18" s="166">
        <v>76.031999999999996</v>
      </c>
      <c r="P18" s="266"/>
      <c r="Q18" s="88">
        <f t="shared" si="0"/>
        <v>1102.0319999999999</v>
      </c>
      <c r="R18" s="1165">
        <f t="shared" si="2"/>
        <v>5102</v>
      </c>
      <c r="S18" s="101">
        <f t="shared" si="1"/>
        <v>765.3</v>
      </c>
      <c r="U18" s="4"/>
      <c r="V18" s="2"/>
      <c r="W18" s="82"/>
      <c r="X18" s="4"/>
      <c r="Y18" s="2"/>
    </row>
    <row r="19" spans="1:25" ht="24.95" customHeight="1" thickBot="1" x14ac:dyDescent="0.3">
      <c r="A19" s="1297"/>
      <c r="B19" s="203">
        <v>1200</v>
      </c>
      <c r="C19" s="204">
        <v>600</v>
      </c>
      <c r="D19" s="209">
        <v>160</v>
      </c>
      <c r="E19" s="238" t="s">
        <v>339</v>
      </c>
      <c r="F19" s="263">
        <v>100</v>
      </c>
      <c r="G19" s="263">
        <v>15.500992063492063</v>
      </c>
      <c r="H19" s="264" t="s">
        <v>259</v>
      </c>
      <c r="I19" s="177">
        <f>IF(E19="C",ROUNDUP(5500/115/КровляDDP!O19,0)*КровляDDP!O19," ")</f>
        <v>51.609599999999993</v>
      </c>
      <c r="J19" s="97">
        <v>2</v>
      </c>
      <c r="K19" s="166">
        <v>1.44</v>
      </c>
      <c r="L19" s="169">
        <v>0.23039999999999999</v>
      </c>
      <c r="M19" s="97">
        <v>28</v>
      </c>
      <c r="N19" s="166">
        <v>6.4512</v>
      </c>
      <c r="O19" s="166">
        <v>70.963200000000001</v>
      </c>
      <c r="P19" s="266"/>
      <c r="Q19" s="88">
        <f t="shared" si="0"/>
        <v>1175.5008</v>
      </c>
      <c r="R19" s="1165">
        <f t="shared" si="2"/>
        <v>5102</v>
      </c>
      <c r="S19" s="101">
        <f t="shared" si="1"/>
        <v>816.32</v>
      </c>
      <c r="U19" s="4"/>
      <c r="V19" s="2"/>
      <c r="W19" s="82"/>
      <c r="X19" s="4"/>
      <c r="Y19" s="2"/>
    </row>
    <row r="20" spans="1:25" ht="24.95" customHeight="1" thickBot="1" x14ac:dyDescent="0.3">
      <c r="A20" s="1297"/>
      <c r="B20" s="203">
        <v>1200</v>
      </c>
      <c r="C20" s="204">
        <v>600</v>
      </c>
      <c r="D20" s="209">
        <v>170</v>
      </c>
      <c r="E20" s="238" t="s">
        <v>339</v>
      </c>
      <c r="F20" s="263">
        <v>100</v>
      </c>
      <c r="G20" s="263">
        <v>14.589169000933706</v>
      </c>
      <c r="H20" s="264" t="s">
        <v>191</v>
      </c>
      <c r="I20" s="177">
        <f>IF(E20="C",ROUNDUP(5500/115/КровляDDP!O20,0)*КровляDDP!O20," ")</f>
        <v>47.980800000000002</v>
      </c>
      <c r="J20" s="97">
        <v>2</v>
      </c>
      <c r="K20" s="166">
        <v>1.44</v>
      </c>
      <c r="L20" s="169">
        <v>0.24479999999999999</v>
      </c>
      <c r="M20" s="97">
        <v>28</v>
      </c>
      <c r="N20" s="166">
        <v>6.8544</v>
      </c>
      <c r="O20" s="166">
        <v>75.398399999999995</v>
      </c>
      <c r="P20" s="266"/>
      <c r="Q20" s="88">
        <f t="shared" si="0"/>
        <v>1248.9695999999999</v>
      </c>
      <c r="R20" s="1165">
        <f t="shared" si="2"/>
        <v>5102</v>
      </c>
      <c r="S20" s="101">
        <f t="shared" si="1"/>
        <v>867.34</v>
      </c>
      <c r="U20" s="4"/>
      <c r="V20" s="2"/>
      <c r="W20" s="82"/>
      <c r="X20" s="4"/>
      <c r="Y20" s="2"/>
    </row>
    <row r="21" spans="1:25" ht="24.95" customHeight="1" thickBot="1" x14ac:dyDescent="0.3">
      <c r="A21" s="1298"/>
      <c r="B21" s="240">
        <v>1200</v>
      </c>
      <c r="C21" s="241">
        <v>600</v>
      </c>
      <c r="D21" s="242">
        <v>180</v>
      </c>
      <c r="E21" s="238" t="s">
        <v>339</v>
      </c>
      <c r="F21" s="289">
        <v>100</v>
      </c>
      <c r="G21" s="289">
        <v>16.075102880658438</v>
      </c>
      <c r="H21" s="317" t="s">
        <v>260</v>
      </c>
      <c r="I21" s="445">
        <f>IF(E21="C",ROUNDUP(5500/115/КровляDDP!O21,0)*КровляDDP!O21," ")</f>
        <v>49.766399999999997</v>
      </c>
      <c r="J21" s="306">
        <v>2</v>
      </c>
      <c r="K21" s="167">
        <v>1.44</v>
      </c>
      <c r="L21" s="307">
        <v>0.25919999999999999</v>
      </c>
      <c r="M21" s="306">
        <v>24</v>
      </c>
      <c r="N21" s="167">
        <v>6.2207999999999997</v>
      </c>
      <c r="O21" s="167">
        <v>68.428799999999995</v>
      </c>
      <c r="P21" s="308"/>
      <c r="Q21" s="614">
        <f t="shared" si="0"/>
        <v>1322.4384</v>
      </c>
      <c r="R21" s="1166">
        <f>R20</f>
        <v>5102</v>
      </c>
      <c r="S21" s="615">
        <f t="shared" si="1"/>
        <v>918.36</v>
      </c>
      <c r="U21" s="4"/>
      <c r="V21" s="2"/>
      <c r="W21" s="82"/>
      <c r="X21" s="4"/>
      <c r="Y21" s="2"/>
    </row>
    <row r="22" spans="1:25" ht="24.95" customHeight="1" thickBot="1" x14ac:dyDescent="0.3">
      <c r="A22" s="1146" t="s">
        <v>723</v>
      </c>
      <c r="B22" s="450">
        <v>1200</v>
      </c>
      <c r="C22" s="451">
        <v>600</v>
      </c>
      <c r="D22" s="452">
        <v>50</v>
      </c>
      <c r="E22" s="238" t="s">
        <v>339</v>
      </c>
      <c r="F22" s="112"/>
      <c r="G22" s="112"/>
      <c r="H22" s="211" t="s">
        <v>725</v>
      </c>
      <c r="I22" s="178">
        <f>IF(E22="C",ROUNDUP(5500/115/КровляDDP!O22,0)*КровляDDP!O22," ")</f>
        <v>48.384</v>
      </c>
      <c r="J22" s="453">
        <v>6</v>
      </c>
      <c r="K22" s="185">
        <v>4.32</v>
      </c>
      <c r="L22" s="188">
        <v>0.216</v>
      </c>
      <c r="M22" s="453">
        <v>32</v>
      </c>
      <c r="N22" s="185">
        <v>6.9119999999999999</v>
      </c>
      <c r="O22" s="185">
        <v>76.031999999999996</v>
      </c>
      <c r="P22" s="55"/>
      <c r="Q22" s="88" t="e">
        <f>L22*R22</f>
        <v>#VALUE!</v>
      </c>
      <c r="R22" s="1165" t="s">
        <v>528</v>
      </c>
      <c r="S22" s="101" t="e">
        <f>R22*D22/1000</f>
        <v>#VALUE!</v>
      </c>
      <c r="U22" s="4"/>
      <c r="V22" s="2"/>
      <c r="W22" s="82"/>
      <c r="X22" s="4"/>
      <c r="Y22" s="2"/>
    </row>
    <row r="23" spans="1:25" ht="24.95" customHeight="1" thickBot="1" x14ac:dyDescent="0.3">
      <c r="A23" s="1144"/>
      <c r="B23" s="203">
        <v>1200</v>
      </c>
      <c r="C23" s="204">
        <v>600</v>
      </c>
      <c r="D23" s="209">
        <v>60</v>
      </c>
      <c r="E23" s="238" t="s">
        <v>339</v>
      </c>
      <c r="F23" s="263"/>
      <c r="G23" s="263"/>
      <c r="H23" s="264" t="s">
        <v>726</v>
      </c>
      <c r="I23" s="178">
        <f>IF(E23="C",ROUNDUP(5500/115/КровляDDP!O23,0)*КровляDDP!O23," ")</f>
        <v>48.383999999999993</v>
      </c>
      <c r="J23" s="97">
        <v>4</v>
      </c>
      <c r="K23" s="166">
        <v>2.8800000000000003</v>
      </c>
      <c r="L23" s="169">
        <v>0.17280000000000001</v>
      </c>
      <c r="M23" s="97">
        <v>40</v>
      </c>
      <c r="N23" s="166">
        <v>6.9120000000000008</v>
      </c>
      <c r="O23" s="166">
        <v>76.032000000000011</v>
      </c>
      <c r="P23" s="266"/>
      <c r="Q23" s="88" t="e">
        <f t="shared" ref="Q23:Q32" si="3">L23*R23</f>
        <v>#VALUE!</v>
      </c>
      <c r="R23" s="1165" t="s">
        <v>528</v>
      </c>
      <c r="S23" s="101" t="e">
        <f t="shared" ref="S23:S32" si="4">R23*D23/1000</f>
        <v>#VALUE!</v>
      </c>
      <c r="U23" s="4"/>
      <c r="V23" s="2"/>
      <c r="W23" s="82"/>
      <c r="X23" s="4"/>
      <c r="Y23" s="2"/>
    </row>
    <row r="24" spans="1:25" ht="24.95" customHeight="1" thickBot="1" x14ac:dyDescent="0.3">
      <c r="A24" s="1144"/>
      <c r="B24" s="203">
        <v>1200</v>
      </c>
      <c r="C24" s="204">
        <v>600</v>
      </c>
      <c r="D24" s="209">
        <v>70</v>
      </c>
      <c r="E24" s="238" t="s">
        <v>339</v>
      </c>
      <c r="F24" s="263"/>
      <c r="G24" s="263"/>
      <c r="H24" s="264" t="s">
        <v>727</v>
      </c>
      <c r="I24" s="178">
        <f>IF(E24="C",ROUNDUP(5500/115/КровляDDP!O24,0)*КровляDDP!O24," ")</f>
        <v>51.6096</v>
      </c>
      <c r="J24" s="97">
        <v>4</v>
      </c>
      <c r="K24" s="166">
        <v>2.8800000000000003</v>
      </c>
      <c r="L24" s="169">
        <v>0.2016</v>
      </c>
      <c r="M24" s="97">
        <v>32</v>
      </c>
      <c r="N24" s="166">
        <v>6.4512</v>
      </c>
      <c r="O24" s="166">
        <v>70.963200000000001</v>
      </c>
      <c r="P24" s="266"/>
      <c r="Q24" s="88" t="e">
        <f t="shared" si="3"/>
        <v>#VALUE!</v>
      </c>
      <c r="R24" s="1165" t="s">
        <v>528</v>
      </c>
      <c r="S24" s="101" t="e">
        <f t="shared" si="4"/>
        <v>#VALUE!</v>
      </c>
      <c r="U24" s="4"/>
      <c r="V24" s="2"/>
      <c r="W24" s="82"/>
      <c r="X24" s="4"/>
      <c r="Y24" s="2"/>
    </row>
    <row r="25" spans="1:25" ht="24.95" customHeight="1" thickBot="1" x14ac:dyDescent="0.3">
      <c r="A25" s="1144"/>
      <c r="B25" s="203">
        <v>1200</v>
      </c>
      <c r="C25" s="204">
        <v>600</v>
      </c>
      <c r="D25" s="209">
        <v>80</v>
      </c>
      <c r="E25" s="238" t="s">
        <v>339</v>
      </c>
      <c r="F25" s="263">
        <v>100</v>
      </c>
      <c r="G25" s="263">
        <v>14.467592592592592</v>
      </c>
      <c r="H25" s="264" t="s">
        <v>728</v>
      </c>
      <c r="I25" s="178">
        <f>IF(E25="C",ROUNDUP(5500/115/КровляDDP!O25,0)*КровляDDP!O25," ")</f>
        <v>48.384000000000007</v>
      </c>
      <c r="J25" s="97">
        <v>3</v>
      </c>
      <c r="K25" s="166">
        <v>2.16</v>
      </c>
      <c r="L25" s="169">
        <v>0.17280000000000001</v>
      </c>
      <c r="M25" s="97">
        <v>40</v>
      </c>
      <c r="N25" s="166">
        <v>6.9120000000000008</v>
      </c>
      <c r="O25" s="166">
        <v>76.032000000000011</v>
      </c>
      <c r="P25" s="266"/>
      <c r="Q25" s="88" t="e">
        <f t="shared" si="3"/>
        <v>#VALUE!</v>
      </c>
      <c r="R25" s="1165" t="s">
        <v>528</v>
      </c>
      <c r="S25" s="101" t="e">
        <f t="shared" si="4"/>
        <v>#VALUE!</v>
      </c>
      <c r="U25" s="4"/>
      <c r="V25" s="2"/>
      <c r="W25" s="82"/>
      <c r="X25" s="4"/>
      <c r="Y25" s="2"/>
    </row>
    <row r="26" spans="1:25" ht="24.95" customHeight="1" thickBot="1" x14ac:dyDescent="0.3">
      <c r="A26" s="1144"/>
      <c r="B26" s="203">
        <v>1200</v>
      </c>
      <c r="C26" s="204">
        <v>600</v>
      </c>
      <c r="D26" s="209">
        <v>90</v>
      </c>
      <c r="E26" s="238" t="s">
        <v>339</v>
      </c>
      <c r="F26" s="263">
        <v>100</v>
      </c>
      <c r="G26" s="263">
        <v>16.075102880658438</v>
      </c>
      <c r="H26" s="264"/>
      <c r="I26" s="178">
        <f>IF(E26="C",ROUNDUP(5500/115/КровляDDP!O26,0)*КровляDDP!O26," ")</f>
        <v>49.766400000000004</v>
      </c>
      <c r="J26" s="97">
        <v>3</v>
      </c>
      <c r="K26" s="166">
        <v>2.16</v>
      </c>
      <c r="L26" s="169">
        <v>0.19439999999999999</v>
      </c>
      <c r="M26" s="97">
        <v>32</v>
      </c>
      <c r="N26" s="166">
        <v>6.2207999999999997</v>
      </c>
      <c r="O26" s="166">
        <v>68.428799999999995</v>
      </c>
      <c r="P26" s="266"/>
      <c r="Q26" s="88" t="e">
        <f t="shared" si="3"/>
        <v>#VALUE!</v>
      </c>
      <c r="R26" s="1165" t="s">
        <v>528</v>
      </c>
      <c r="S26" s="101" t="e">
        <f t="shared" si="4"/>
        <v>#VALUE!</v>
      </c>
      <c r="U26" s="4"/>
      <c r="V26" s="2"/>
      <c r="W26" s="82"/>
      <c r="X26" s="4"/>
      <c r="Y26" s="2"/>
    </row>
    <row r="27" spans="1:25" ht="24.95" customHeight="1" thickBot="1" x14ac:dyDescent="0.3">
      <c r="A27" s="1144"/>
      <c r="B27" s="203">
        <v>1200</v>
      </c>
      <c r="C27" s="204">
        <v>600</v>
      </c>
      <c r="D27" s="209">
        <v>100</v>
      </c>
      <c r="E27" s="238" t="s">
        <v>339</v>
      </c>
      <c r="F27" s="263"/>
      <c r="G27" s="263">
        <v>0</v>
      </c>
      <c r="H27" s="264" t="s">
        <v>729</v>
      </c>
      <c r="I27" s="178">
        <f>IF(E27="C",ROUNDUP(5500/115/КровляDDP!O27,0)*КровляDDP!O27," ")</f>
        <v>48.384</v>
      </c>
      <c r="J27" s="97">
        <v>3</v>
      </c>
      <c r="K27" s="166">
        <v>2.16</v>
      </c>
      <c r="L27" s="169">
        <v>0.216</v>
      </c>
      <c r="M27" s="97">
        <v>32</v>
      </c>
      <c r="N27" s="166">
        <v>6.9119999999999999</v>
      </c>
      <c r="O27" s="166">
        <v>76.031999999999996</v>
      </c>
      <c r="P27" s="266"/>
      <c r="Q27" s="88" t="e">
        <f t="shared" si="3"/>
        <v>#VALUE!</v>
      </c>
      <c r="R27" s="1165" t="s">
        <v>528</v>
      </c>
      <c r="S27" s="101" t="e">
        <f t="shared" si="4"/>
        <v>#VALUE!</v>
      </c>
      <c r="U27" s="4"/>
      <c r="V27" s="2"/>
      <c r="W27" s="82"/>
      <c r="X27" s="4"/>
      <c r="Y27" s="2"/>
    </row>
    <row r="28" spans="1:25" ht="24.95" customHeight="1" thickBot="1" x14ac:dyDescent="0.3">
      <c r="A28" s="1144"/>
      <c r="B28" s="203">
        <v>1200</v>
      </c>
      <c r="C28" s="204">
        <v>600</v>
      </c>
      <c r="D28" s="209">
        <v>110</v>
      </c>
      <c r="E28" s="238" t="s">
        <v>339</v>
      </c>
      <c r="F28" s="263">
        <v>100</v>
      </c>
      <c r="G28" s="263">
        <v>15.031265031265031</v>
      </c>
      <c r="H28" s="264"/>
      <c r="I28" s="178">
        <f>IF(E28="C",ROUNDUP(5500/115/КровляDDP!O28,0)*КровляDDP!O28," ")</f>
        <v>53.222400000000007</v>
      </c>
      <c r="J28" s="97">
        <v>3</v>
      </c>
      <c r="K28" s="166">
        <v>2.16</v>
      </c>
      <c r="L28" s="169">
        <v>0.23760000000000001</v>
      </c>
      <c r="M28" s="97">
        <v>28</v>
      </c>
      <c r="N28" s="166">
        <v>6.6528</v>
      </c>
      <c r="O28" s="166">
        <v>73.180800000000005</v>
      </c>
      <c r="P28" s="266"/>
      <c r="Q28" s="88" t="e">
        <f t="shared" si="3"/>
        <v>#VALUE!</v>
      </c>
      <c r="R28" s="1165" t="s">
        <v>528</v>
      </c>
      <c r="S28" s="101" t="e">
        <f t="shared" si="4"/>
        <v>#VALUE!</v>
      </c>
      <c r="U28" s="4"/>
      <c r="V28" s="2"/>
      <c r="W28" s="82"/>
      <c r="X28" s="4"/>
      <c r="Y28" s="2"/>
    </row>
    <row r="29" spans="1:25" ht="24.95" customHeight="1" thickBot="1" x14ac:dyDescent="0.3">
      <c r="A29" s="1144"/>
      <c r="B29" s="203">
        <v>1200</v>
      </c>
      <c r="C29" s="204">
        <v>600</v>
      </c>
      <c r="D29" s="209">
        <v>120</v>
      </c>
      <c r="E29" s="238" t="s">
        <v>339</v>
      </c>
      <c r="F29" s="263">
        <v>100</v>
      </c>
      <c r="G29" s="263">
        <v>14.467592592592592</v>
      </c>
      <c r="H29" s="264" t="s">
        <v>732</v>
      </c>
      <c r="I29" s="178">
        <f>IF(E29="C",ROUNDUP(5500/115/КровляDDP!O29,0)*КровляDDP!O29," ")</f>
        <v>48.383999999999993</v>
      </c>
      <c r="J29" s="97">
        <v>2</v>
      </c>
      <c r="K29" s="166">
        <v>1.4400000000000002</v>
      </c>
      <c r="L29" s="169">
        <v>0.17280000000000001</v>
      </c>
      <c r="M29" s="97">
        <v>40</v>
      </c>
      <c r="N29" s="166">
        <v>6.9120000000000008</v>
      </c>
      <c r="O29" s="166">
        <v>76.032000000000011</v>
      </c>
      <c r="P29" s="266"/>
      <c r="Q29" s="88" t="e">
        <f t="shared" si="3"/>
        <v>#VALUE!</v>
      </c>
      <c r="R29" s="1165" t="s">
        <v>528</v>
      </c>
      <c r="S29" s="101" t="e">
        <f t="shared" si="4"/>
        <v>#VALUE!</v>
      </c>
      <c r="U29" s="4"/>
      <c r="V29" s="2"/>
      <c r="W29" s="82"/>
      <c r="X29" s="4"/>
      <c r="Y29" s="2"/>
    </row>
    <row r="30" spans="1:25" ht="24.95" customHeight="1" thickBot="1" x14ac:dyDescent="0.3">
      <c r="A30" s="1144"/>
      <c r="B30" s="203">
        <v>1200</v>
      </c>
      <c r="C30" s="204">
        <v>600</v>
      </c>
      <c r="D30" s="209">
        <v>130</v>
      </c>
      <c r="E30" s="238" t="s">
        <v>339</v>
      </c>
      <c r="F30" s="263">
        <v>100</v>
      </c>
      <c r="G30" s="263">
        <v>14.83855650522317</v>
      </c>
      <c r="H30" s="264"/>
      <c r="I30" s="178">
        <f>IF(E30="C",ROUNDUP(5500/115/КровляDDP!O30,0)*КровляDDP!O30," ")</f>
        <v>53.913599999999995</v>
      </c>
      <c r="J30" s="97">
        <v>2</v>
      </c>
      <c r="K30" s="166">
        <v>1.4400000000000002</v>
      </c>
      <c r="L30" s="169">
        <v>0.18720000000000001</v>
      </c>
      <c r="M30" s="97">
        <v>36</v>
      </c>
      <c r="N30" s="166">
        <v>6.7392000000000003</v>
      </c>
      <c r="O30" s="166">
        <v>74.131200000000007</v>
      </c>
      <c r="P30" s="266"/>
      <c r="Q30" s="88" t="e">
        <f t="shared" si="3"/>
        <v>#VALUE!</v>
      </c>
      <c r="R30" s="1165" t="s">
        <v>528</v>
      </c>
      <c r="S30" s="101" t="e">
        <f t="shared" si="4"/>
        <v>#VALUE!</v>
      </c>
      <c r="U30" s="4"/>
      <c r="V30" s="2"/>
      <c r="W30" s="82"/>
      <c r="X30" s="4"/>
      <c r="Y30" s="2"/>
    </row>
    <row r="31" spans="1:25" ht="24.95" customHeight="1" thickBot="1" x14ac:dyDescent="0.3">
      <c r="A31" s="1144"/>
      <c r="B31" s="203">
        <v>1200</v>
      </c>
      <c r="C31" s="204">
        <v>600</v>
      </c>
      <c r="D31" s="209">
        <v>140</v>
      </c>
      <c r="E31" s="238" t="s">
        <v>339</v>
      </c>
      <c r="F31" s="263">
        <v>100</v>
      </c>
      <c r="G31" s="263">
        <v>15.500992063492063</v>
      </c>
      <c r="H31" s="264" t="s">
        <v>730</v>
      </c>
      <c r="I31" s="178">
        <f>IF(E31="C",ROUNDUP(5500/115/КровляDDP!O31,0)*КровляDDP!O31," ")</f>
        <v>51.6096</v>
      </c>
      <c r="J31" s="97">
        <v>2</v>
      </c>
      <c r="K31" s="166">
        <v>1.4400000000000002</v>
      </c>
      <c r="L31" s="169">
        <v>0.2016</v>
      </c>
      <c r="M31" s="97">
        <v>32</v>
      </c>
      <c r="N31" s="166">
        <v>6.4512</v>
      </c>
      <c r="O31" s="166">
        <v>70.963200000000001</v>
      </c>
      <c r="P31" s="266"/>
      <c r="Q31" s="88" t="e">
        <f t="shared" si="3"/>
        <v>#VALUE!</v>
      </c>
      <c r="R31" s="1165" t="s">
        <v>528</v>
      </c>
      <c r="S31" s="101" t="e">
        <f t="shared" si="4"/>
        <v>#VALUE!</v>
      </c>
      <c r="U31" s="4"/>
      <c r="V31" s="2"/>
      <c r="W31" s="82"/>
      <c r="X31" s="4"/>
      <c r="Y31" s="2"/>
    </row>
    <row r="32" spans="1:25" ht="24.95" customHeight="1" thickBot="1" x14ac:dyDescent="0.3">
      <c r="A32" s="1145"/>
      <c r="B32" s="240">
        <v>1200</v>
      </c>
      <c r="C32" s="241">
        <v>600</v>
      </c>
      <c r="D32" s="242">
        <v>150</v>
      </c>
      <c r="E32" s="238" t="s">
        <v>339</v>
      </c>
      <c r="F32" s="289">
        <v>100</v>
      </c>
      <c r="G32" s="289">
        <v>14.467592592592593</v>
      </c>
      <c r="H32" s="317" t="s">
        <v>731</v>
      </c>
      <c r="I32" s="445">
        <f>IF(E32="C",ROUNDUP(5500/115/КровляDDP!O32,0)*КровляDDP!O32," ")</f>
        <v>48.384</v>
      </c>
      <c r="J32" s="306">
        <v>2</v>
      </c>
      <c r="K32" s="167">
        <v>1.4400000000000002</v>
      </c>
      <c r="L32" s="307">
        <v>0.216</v>
      </c>
      <c r="M32" s="306">
        <v>32</v>
      </c>
      <c r="N32" s="167">
        <v>6.9119999999999999</v>
      </c>
      <c r="O32" s="167">
        <v>76.031999999999996</v>
      </c>
      <c r="P32" s="308"/>
      <c r="Q32" s="614" t="e">
        <f t="shared" si="3"/>
        <v>#VALUE!</v>
      </c>
      <c r="R32" s="1166" t="s">
        <v>528</v>
      </c>
      <c r="S32" s="615" t="e">
        <f t="shared" si="4"/>
        <v>#VALUE!</v>
      </c>
      <c r="U32" s="4"/>
      <c r="V32" s="2"/>
      <c r="W32" s="82"/>
      <c r="X32" s="4"/>
      <c r="Y32" s="2"/>
    </row>
    <row r="33" spans="1:24" ht="22.5" customHeight="1" thickBot="1" x14ac:dyDescent="0.3">
      <c r="A33" s="1147" t="s">
        <v>14</v>
      </c>
      <c r="B33" s="249">
        <v>1200</v>
      </c>
      <c r="C33" s="287">
        <v>600</v>
      </c>
      <c r="D33" s="288">
        <v>50</v>
      </c>
      <c r="E33" s="238" t="s">
        <v>339</v>
      </c>
      <c r="F33" s="319"/>
      <c r="G33" s="319">
        <v>0</v>
      </c>
      <c r="H33" s="310" t="s">
        <v>702</v>
      </c>
      <c r="I33" s="178">
        <f>IF(E33="C",ROUNDUP(5500/140/КровляDDP!O33,0)*КровляDDP!O33," ")</f>
        <v>41.472000000000001</v>
      </c>
      <c r="J33" s="320">
        <v>4</v>
      </c>
      <c r="K33" s="312">
        <v>2.88</v>
      </c>
      <c r="L33" s="132">
        <v>0.14399999999999999</v>
      </c>
      <c r="M33" s="133">
        <v>48</v>
      </c>
      <c r="N33" s="168">
        <v>6.9119999999999999</v>
      </c>
      <c r="O33" s="168">
        <v>76.031999999999996</v>
      </c>
      <c r="P33" s="612"/>
      <c r="Q33" s="88">
        <f>L33*R33</f>
        <v>959.47199999999998</v>
      </c>
      <c r="R33" s="224">
        <v>6663</v>
      </c>
      <c r="S33" s="101">
        <f>R33*D33/1000</f>
        <v>333.15</v>
      </c>
      <c r="U33" s="80"/>
      <c r="V33" s="2"/>
      <c r="X33" s="4"/>
    </row>
    <row r="34" spans="1:24" ht="22.5" customHeight="1" thickBot="1" x14ac:dyDescent="0.3">
      <c r="A34" s="1299" t="s">
        <v>32</v>
      </c>
      <c r="B34" s="203">
        <v>1200</v>
      </c>
      <c r="C34" s="204">
        <v>600</v>
      </c>
      <c r="D34" s="209">
        <v>60</v>
      </c>
      <c r="E34" s="238" t="s">
        <v>339</v>
      </c>
      <c r="F34" s="263">
        <v>71.428571428571431</v>
      </c>
      <c r="G34" s="263">
        <v>10.333994708994709</v>
      </c>
      <c r="H34" s="264" t="s">
        <v>192</v>
      </c>
      <c r="I34" s="178">
        <f>IF(E34="C",ROUNDUP(5500/140/КровляDDP!O34,0)*КровляDDP!O34," ")</f>
        <v>41.471999999999994</v>
      </c>
      <c r="J34" s="98">
        <v>4</v>
      </c>
      <c r="K34" s="166">
        <v>2.8800000000000003</v>
      </c>
      <c r="L34" s="126">
        <v>0.17280000000000001</v>
      </c>
      <c r="M34" s="127">
        <v>40</v>
      </c>
      <c r="N34" s="166">
        <v>6.9120000000000008</v>
      </c>
      <c r="O34" s="166">
        <v>76.032000000000011</v>
      </c>
      <c r="P34" s="266"/>
      <c r="Q34" s="88">
        <f t="shared" si="0"/>
        <v>1151.3664000000001</v>
      </c>
      <c r="R34" s="170">
        <f>R33</f>
        <v>6663</v>
      </c>
      <c r="S34" s="101">
        <f t="shared" si="1"/>
        <v>399.78</v>
      </c>
      <c r="U34" s="80"/>
      <c r="V34" s="2"/>
      <c r="W34" s="82"/>
      <c r="X34" s="4"/>
    </row>
    <row r="35" spans="1:24" ht="22.5" customHeight="1" thickBot="1" x14ac:dyDescent="0.3">
      <c r="A35" s="1299"/>
      <c r="B35" s="203">
        <v>1200</v>
      </c>
      <c r="C35" s="204">
        <v>600</v>
      </c>
      <c r="D35" s="209">
        <v>70</v>
      </c>
      <c r="E35" s="238" t="s">
        <v>339</v>
      </c>
      <c r="F35" s="263">
        <v>71.428571428571431</v>
      </c>
      <c r="G35" s="263">
        <v>10.736617879475023</v>
      </c>
      <c r="H35" s="264" t="s">
        <v>193</v>
      </c>
      <c r="I35" s="178">
        <f>IF(E35="C",ROUNDUP(5500/140/КровляDDP!O35,0)*КровляDDP!O35," ")</f>
        <v>39.916800000000009</v>
      </c>
      <c r="J35" s="97">
        <v>3</v>
      </c>
      <c r="K35" s="168">
        <v>2.16</v>
      </c>
      <c r="L35" s="126">
        <v>0.1512</v>
      </c>
      <c r="M35" s="127">
        <v>44</v>
      </c>
      <c r="N35" s="166">
        <v>6.6528</v>
      </c>
      <c r="O35" s="166">
        <v>73.180800000000005</v>
      </c>
      <c r="P35" s="266"/>
      <c r="Q35" s="88">
        <f t="shared" si="0"/>
        <v>1007.4456</v>
      </c>
      <c r="R35" s="170">
        <f t="shared" ref="R35:R38" si="5">R34</f>
        <v>6663</v>
      </c>
      <c r="S35" s="101">
        <f t="shared" si="1"/>
        <v>466.41</v>
      </c>
      <c r="U35" s="80"/>
      <c r="V35" s="2"/>
      <c r="W35" s="82"/>
      <c r="X35" s="4"/>
    </row>
    <row r="36" spans="1:24" ht="22.5" customHeight="1" thickBot="1" x14ac:dyDescent="0.3">
      <c r="A36" s="1299"/>
      <c r="B36" s="203">
        <v>1200</v>
      </c>
      <c r="C36" s="204">
        <v>600</v>
      </c>
      <c r="D36" s="209">
        <v>80</v>
      </c>
      <c r="E36" s="238" t="s">
        <v>339</v>
      </c>
      <c r="F36" s="263">
        <v>71.428571428571431</v>
      </c>
      <c r="G36" s="263">
        <v>10.333994708994709</v>
      </c>
      <c r="H36" s="264" t="s">
        <v>194</v>
      </c>
      <c r="I36" s="178">
        <f>IF(E36="C",ROUNDUP(5500/140/КровляDDP!O36,0)*КровляDDP!O36," ")</f>
        <v>41.472000000000008</v>
      </c>
      <c r="J36" s="97">
        <v>3</v>
      </c>
      <c r="K36" s="166">
        <v>2.16</v>
      </c>
      <c r="L36" s="126">
        <v>0.17280000000000001</v>
      </c>
      <c r="M36" s="222">
        <v>40</v>
      </c>
      <c r="N36" s="166">
        <v>6.9120000000000008</v>
      </c>
      <c r="O36" s="166">
        <v>76.032000000000011</v>
      </c>
      <c r="P36" s="266"/>
      <c r="Q36" s="88">
        <f t="shared" si="0"/>
        <v>1151.3664000000001</v>
      </c>
      <c r="R36" s="170">
        <f t="shared" si="5"/>
        <v>6663</v>
      </c>
      <c r="S36" s="101">
        <f t="shared" si="1"/>
        <v>533.04</v>
      </c>
      <c r="U36" s="80"/>
      <c r="V36" s="2"/>
      <c r="W36" s="82"/>
      <c r="X36" s="4"/>
    </row>
    <row r="37" spans="1:24" ht="22.5" customHeight="1" thickBot="1" x14ac:dyDescent="0.3">
      <c r="A37" s="1299"/>
      <c r="B37" s="203">
        <v>1200</v>
      </c>
      <c r="C37" s="204">
        <v>600</v>
      </c>
      <c r="D37" s="209">
        <v>90</v>
      </c>
      <c r="E37" s="238" t="s">
        <v>339</v>
      </c>
      <c r="F37" s="263">
        <v>71.428571428571431</v>
      </c>
      <c r="G37" s="263">
        <v>11.482216343327455</v>
      </c>
      <c r="H37" s="264" t="s">
        <v>703</v>
      </c>
      <c r="I37" s="178">
        <f>IF(E37="C",ROUNDUP(5500/140/КровляDDP!O37,0)*КровляDDP!O37," ")</f>
        <v>40.435199999999995</v>
      </c>
      <c r="J37" s="97">
        <v>2</v>
      </c>
      <c r="K37" s="166">
        <v>1.44</v>
      </c>
      <c r="L37" s="126">
        <v>0.12959999999999999</v>
      </c>
      <c r="M37" s="127">
        <v>52</v>
      </c>
      <c r="N37" s="227">
        <v>6.7392000000000003</v>
      </c>
      <c r="O37" s="166">
        <v>74.131200000000007</v>
      </c>
      <c r="P37" s="266"/>
      <c r="Q37" s="88">
        <f t="shared" si="0"/>
        <v>863.52479999999991</v>
      </c>
      <c r="R37" s="170">
        <f t="shared" si="5"/>
        <v>6663</v>
      </c>
      <c r="S37" s="101">
        <f t="shared" si="1"/>
        <v>599.66999999999996</v>
      </c>
      <c r="U37" s="80"/>
      <c r="V37" s="2"/>
      <c r="W37" s="82"/>
      <c r="X37" s="4"/>
    </row>
    <row r="38" spans="1:24" ht="22.5" customHeight="1" thickBot="1" x14ac:dyDescent="0.3">
      <c r="A38" s="1299"/>
      <c r="B38" s="203">
        <v>1200</v>
      </c>
      <c r="C38" s="204">
        <v>600</v>
      </c>
      <c r="D38" s="209">
        <v>100</v>
      </c>
      <c r="E38" s="238" t="s">
        <v>339</v>
      </c>
      <c r="F38" s="263"/>
      <c r="G38" s="263"/>
      <c r="H38" s="264" t="s">
        <v>195</v>
      </c>
      <c r="I38" s="178">
        <f>IF(E38="C",ROUNDUP(5500/140/КровляDDP!O38,0)*КровляDDP!O38," ")</f>
        <v>41.472000000000001</v>
      </c>
      <c r="J38" s="97">
        <v>3</v>
      </c>
      <c r="K38" s="166">
        <v>2.16</v>
      </c>
      <c r="L38" s="126">
        <v>0.216</v>
      </c>
      <c r="M38" s="133">
        <v>32</v>
      </c>
      <c r="N38" s="166">
        <v>6.9119999999999999</v>
      </c>
      <c r="O38" s="166">
        <v>76.031999999999996</v>
      </c>
      <c r="P38" s="266"/>
      <c r="Q38" s="88">
        <f t="shared" si="0"/>
        <v>1439.2080000000001</v>
      </c>
      <c r="R38" s="170">
        <f t="shared" si="5"/>
        <v>6663</v>
      </c>
      <c r="S38" s="101">
        <f t="shared" si="1"/>
        <v>666.3</v>
      </c>
      <c r="U38" s="80"/>
      <c r="V38" s="2"/>
      <c r="X38" s="4"/>
    </row>
    <row r="39" spans="1:24" ht="22.5" customHeight="1" thickBot="1" x14ac:dyDescent="0.3">
      <c r="A39" s="1299"/>
      <c r="B39" s="203">
        <v>1200</v>
      </c>
      <c r="C39" s="204">
        <v>600</v>
      </c>
      <c r="D39" s="209">
        <v>110</v>
      </c>
      <c r="E39" s="238" t="s">
        <v>339</v>
      </c>
      <c r="F39" s="263">
        <v>71.428571428571431</v>
      </c>
      <c r="G39" s="263">
        <v>11.273448773448774</v>
      </c>
      <c r="H39" s="264" t="s">
        <v>196</v>
      </c>
      <c r="I39" s="178">
        <f>IF(E39="C",ROUNDUP(5500/140/КровляDDP!O39,0)*КровляDDP!O39," ")</f>
        <v>44.352000000000004</v>
      </c>
      <c r="J39" s="97">
        <v>2</v>
      </c>
      <c r="K39" s="166">
        <v>1.4400000000000002</v>
      </c>
      <c r="L39" s="126">
        <v>0.15840000000000001</v>
      </c>
      <c r="M39" s="127">
        <v>40</v>
      </c>
      <c r="N39" s="166">
        <v>6.3360000000000003</v>
      </c>
      <c r="O39" s="166">
        <v>69.695999999999998</v>
      </c>
      <c r="P39" s="266"/>
      <c r="Q39" s="88" t="e">
        <f t="shared" si="0"/>
        <v>#VALUE!</v>
      </c>
      <c r="R39" s="170" t="s">
        <v>417</v>
      </c>
      <c r="S39" s="101" t="e">
        <f t="shared" si="1"/>
        <v>#VALUE!</v>
      </c>
      <c r="U39" s="80"/>
      <c r="V39" s="2"/>
      <c r="W39" s="82"/>
      <c r="X39" s="4"/>
    </row>
    <row r="40" spans="1:24" ht="22.5" customHeight="1" thickBot="1" x14ac:dyDescent="0.3">
      <c r="A40" s="1299"/>
      <c r="B40" s="203">
        <v>1200</v>
      </c>
      <c r="C40" s="204">
        <v>600</v>
      </c>
      <c r="D40" s="209">
        <v>120</v>
      </c>
      <c r="E40" s="238" t="s">
        <v>339</v>
      </c>
      <c r="F40" s="263">
        <v>71.428571428571431</v>
      </c>
      <c r="G40" s="263">
        <v>10.333994708994709</v>
      </c>
      <c r="H40" s="264" t="s">
        <v>197</v>
      </c>
      <c r="I40" s="178">
        <f>IF(E40="C",ROUNDUP(5500/140/КровляDDP!O40,0)*КровляDDP!O40," ")</f>
        <v>41.471999999999994</v>
      </c>
      <c r="J40" s="97">
        <v>2</v>
      </c>
      <c r="K40" s="166">
        <v>1.4400000000000002</v>
      </c>
      <c r="L40" s="126">
        <v>0.17280000000000001</v>
      </c>
      <c r="M40" s="127">
        <v>40</v>
      </c>
      <c r="N40" s="166">
        <v>6.9120000000000008</v>
      </c>
      <c r="O40" s="166">
        <v>76.032000000000011</v>
      </c>
      <c r="P40" s="266"/>
      <c r="Q40" s="88" t="e">
        <f t="shared" si="0"/>
        <v>#VALUE!</v>
      </c>
      <c r="R40" s="170" t="s">
        <v>417</v>
      </c>
      <c r="S40" s="101" t="e">
        <f t="shared" si="1"/>
        <v>#VALUE!</v>
      </c>
      <c r="U40" s="80"/>
      <c r="V40" s="2"/>
      <c r="W40" s="82"/>
      <c r="X40" s="4"/>
    </row>
    <row r="41" spans="1:24" ht="22.5" customHeight="1" thickBot="1" x14ac:dyDescent="0.3">
      <c r="A41" s="1299"/>
      <c r="B41" s="203">
        <v>1200</v>
      </c>
      <c r="C41" s="204">
        <v>600</v>
      </c>
      <c r="D41" s="209">
        <v>130</v>
      </c>
      <c r="E41" s="238" t="s">
        <v>339</v>
      </c>
      <c r="F41" s="263">
        <v>71.428571428571431</v>
      </c>
      <c r="G41" s="263">
        <v>10.598968932302265</v>
      </c>
      <c r="H41" s="264" t="s">
        <v>263</v>
      </c>
      <c r="I41" s="178">
        <f>IF(E41="C",ROUNDUP(5500/140/КровляDDP!O41,0)*КровляDDP!O41," ")</f>
        <v>40.435199999999995</v>
      </c>
      <c r="J41" s="97">
        <v>2</v>
      </c>
      <c r="K41" s="166">
        <v>1.4400000000000002</v>
      </c>
      <c r="L41" s="126">
        <v>0.18720000000000001</v>
      </c>
      <c r="M41" s="127">
        <v>36</v>
      </c>
      <c r="N41" s="166">
        <v>6.7392000000000003</v>
      </c>
      <c r="O41" s="166">
        <v>74.131200000000007</v>
      </c>
      <c r="P41" s="266"/>
      <c r="Q41" s="88" t="e">
        <f t="shared" si="0"/>
        <v>#VALUE!</v>
      </c>
      <c r="R41" s="170" t="s">
        <v>417</v>
      </c>
      <c r="S41" s="101" t="e">
        <f t="shared" si="1"/>
        <v>#VALUE!</v>
      </c>
      <c r="U41" s="80"/>
      <c r="V41" s="2"/>
      <c r="W41" s="82"/>
      <c r="X41" s="4"/>
    </row>
    <row r="42" spans="1:24" ht="22.5" customHeight="1" thickBot="1" x14ac:dyDescent="0.3">
      <c r="A42" s="1299"/>
      <c r="B42" s="203">
        <v>1200</v>
      </c>
      <c r="C42" s="204">
        <v>600</v>
      </c>
      <c r="D42" s="209">
        <v>140</v>
      </c>
      <c r="E42" s="238" t="s">
        <v>339</v>
      </c>
      <c r="F42" s="263">
        <v>71.428571428571431</v>
      </c>
      <c r="G42" s="263">
        <v>11.072137188208616</v>
      </c>
      <c r="H42" s="264" t="s">
        <v>264</v>
      </c>
      <c r="I42" s="178">
        <f>IF(E42="C",ROUNDUP(5500/140/КровляDDP!O42,0)*КровляDDP!O42," ")</f>
        <v>45.1584</v>
      </c>
      <c r="J42" s="97">
        <v>2</v>
      </c>
      <c r="K42" s="166">
        <v>1.4400000000000002</v>
      </c>
      <c r="L42" s="126">
        <v>0.2016</v>
      </c>
      <c r="M42" s="127">
        <v>32</v>
      </c>
      <c r="N42" s="166">
        <v>6.4512</v>
      </c>
      <c r="O42" s="166">
        <v>70.963200000000001</v>
      </c>
      <c r="P42" s="266"/>
      <c r="Q42" s="88" t="e">
        <f t="shared" si="0"/>
        <v>#VALUE!</v>
      </c>
      <c r="R42" s="170" t="s">
        <v>417</v>
      </c>
      <c r="S42" s="101" t="e">
        <f t="shared" si="1"/>
        <v>#VALUE!</v>
      </c>
      <c r="U42" s="80"/>
      <c r="V42" s="2"/>
      <c r="W42" s="82"/>
      <c r="X42" s="4"/>
    </row>
    <row r="43" spans="1:24" ht="22.5" customHeight="1" thickBot="1" x14ac:dyDescent="0.3">
      <c r="A43" s="1299"/>
      <c r="B43" s="203">
        <v>1200</v>
      </c>
      <c r="C43" s="204">
        <v>600</v>
      </c>
      <c r="D43" s="209">
        <v>150</v>
      </c>
      <c r="E43" s="238" t="s">
        <v>339</v>
      </c>
      <c r="F43" s="263">
        <v>71.428571428571431</v>
      </c>
      <c r="G43" s="263">
        <v>10.333994708994709</v>
      </c>
      <c r="H43" s="264" t="s">
        <v>198</v>
      </c>
      <c r="I43" s="178">
        <f>IF(E43="C",ROUNDUP(5500/140/КровляDDP!O43,0)*КровляDDP!O43," ")</f>
        <v>41.472000000000001</v>
      </c>
      <c r="J43" s="97">
        <v>2</v>
      </c>
      <c r="K43" s="166">
        <v>1.4400000000000002</v>
      </c>
      <c r="L43" s="126">
        <v>0.216</v>
      </c>
      <c r="M43" s="127">
        <v>32</v>
      </c>
      <c r="N43" s="166">
        <v>6.9119999999999999</v>
      </c>
      <c r="O43" s="166">
        <v>76.031999999999996</v>
      </c>
      <c r="P43" s="266"/>
      <c r="Q43" s="88" t="e">
        <f t="shared" si="0"/>
        <v>#VALUE!</v>
      </c>
      <c r="R43" s="170" t="s">
        <v>417</v>
      </c>
      <c r="S43" s="101" t="e">
        <f t="shared" si="1"/>
        <v>#VALUE!</v>
      </c>
      <c r="U43" s="80"/>
      <c r="V43" s="2"/>
      <c r="W43" s="82"/>
      <c r="X43" s="4"/>
    </row>
    <row r="44" spans="1:24" ht="22.5" customHeight="1" thickBot="1" x14ac:dyDescent="0.3">
      <c r="A44" s="1299"/>
      <c r="B44" s="203">
        <v>1200</v>
      </c>
      <c r="C44" s="204">
        <v>600</v>
      </c>
      <c r="D44" s="209">
        <v>160</v>
      </c>
      <c r="E44" s="238" t="s">
        <v>339</v>
      </c>
      <c r="F44" s="263">
        <v>71.428571428571431</v>
      </c>
      <c r="G44" s="263">
        <v>11.072137188208616</v>
      </c>
      <c r="H44" s="264" t="s">
        <v>265</v>
      </c>
      <c r="I44" s="178">
        <f>IF(E44="C",ROUNDUP(5500/140/КровляDDP!O44,0)*КровляDDP!O44," ")</f>
        <v>45.158399999999993</v>
      </c>
      <c r="J44" s="97">
        <v>2</v>
      </c>
      <c r="K44" s="166">
        <v>1.44</v>
      </c>
      <c r="L44" s="126">
        <v>0.23039999999999999</v>
      </c>
      <c r="M44" s="127">
        <v>28</v>
      </c>
      <c r="N44" s="166">
        <v>6.4512</v>
      </c>
      <c r="O44" s="166">
        <v>70.963200000000001</v>
      </c>
      <c r="P44" s="266"/>
      <c r="Q44" s="88" t="e">
        <f t="shared" si="0"/>
        <v>#VALUE!</v>
      </c>
      <c r="R44" s="170" t="s">
        <v>417</v>
      </c>
      <c r="S44" s="101" t="e">
        <f t="shared" si="1"/>
        <v>#VALUE!</v>
      </c>
      <c r="U44" s="80"/>
      <c r="V44" s="2"/>
      <c r="W44" s="82"/>
      <c r="X44" s="4"/>
    </row>
    <row r="45" spans="1:24" ht="22.5" customHeight="1" thickBot="1" x14ac:dyDescent="0.3">
      <c r="A45" s="1299"/>
      <c r="B45" s="203">
        <v>1200</v>
      </c>
      <c r="C45" s="204">
        <v>600</v>
      </c>
      <c r="D45" s="209">
        <v>170</v>
      </c>
      <c r="E45" s="238" t="s">
        <v>339</v>
      </c>
      <c r="F45" s="263">
        <v>71.428571428571431</v>
      </c>
      <c r="G45" s="263">
        <v>10.420835000666933</v>
      </c>
      <c r="H45" s="264" t="s">
        <v>266</v>
      </c>
      <c r="I45" s="178">
        <f>IF(E45="C",ROUNDUP(5500/140/КровляDDP!O45,0)*КровляDDP!O45," ")</f>
        <v>41.126400000000004</v>
      </c>
      <c r="J45" s="97">
        <v>2</v>
      </c>
      <c r="K45" s="166">
        <v>1.44</v>
      </c>
      <c r="L45" s="126">
        <v>0.24479999999999999</v>
      </c>
      <c r="M45" s="127">
        <v>28</v>
      </c>
      <c r="N45" s="166">
        <v>6.8544</v>
      </c>
      <c r="O45" s="166">
        <v>75.398399999999995</v>
      </c>
      <c r="P45" s="266"/>
      <c r="Q45" s="88" t="e">
        <f t="shared" si="0"/>
        <v>#VALUE!</v>
      </c>
      <c r="R45" s="170" t="s">
        <v>417</v>
      </c>
      <c r="S45" s="101" t="e">
        <f t="shared" si="1"/>
        <v>#VALUE!</v>
      </c>
      <c r="U45" s="80"/>
      <c r="V45" s="2"/>
      <c r="W45" s="82"/>
      <c r="X45" s="4"/>
    </row>
    <row r="46" spans="1:24" ht="22.5" customHeight="1" thickBot="1" x14ac:dyDescent="0.3">
      <c r="A46" s="1299"/>
      <c r="B46" s="203">
        <v>1200</v>
      </c>
      <c r="C46" s="204">
        <v>600</v>
      </c>
      <c r="D46" s="209">
        <v>180</v>
      </c>
      <c r="E46" s="238" t="s">
        <v>339</v>
      </c>
      <c r="F46" s="263">
        <v>71.428571428571431</v>
      </c>
      <c r="G46" s="263">
        <v>11.482216343327455</v>
      </c>
      <c r="H46" s="264" t="s">
        <v>267</v>
      </c>
      <c r="I46" s="178">
        <f>IF(E46="C",ROUNDUP(5500/140/КровляDDP!O46,0)*КровляDDP!O46," ")</f>
        <v>43.5456</v>
      </c>
      <c r="J46" s="97">
        <v>2</v>
      </c>
      <c r="K46" s="166">
        <v>1.44</v>
      </c>
      <c r="L46" s="126">
        <v>0.25919999999999999</v>
      </c>
      <c r="M46" s="127">
        <v>24</v>
      </c>
      <c r="N46" s="166">
        <v>6.2207999999999997</v>
      </c>
      <c r="O46" s="166">
        <v>68.428799999999995</v>
      </c>
      <c r="P46" s="266"/>
      <c r="Q46" s="88" t="e">
        <f t="shared" si="0"/>
        <v>#VALUE!</v>
      </c>
      <c r="R46" s="170" t="s">
        <v>417</v>
      </c>
      <c r="S46" s="101" t="e">
        <f t="shared" si="1"/>
        <v>#VALUE!</v>
      </c>
      <c r="U46" s="80"/>
      <c r="V46" s="2"/>
      <c r="W46" s="82"/>
      <c r="X46" s="4"/>
    </row>
    <row r="47" spans="1:24" ht="22.5" customHeight="1" thickBot="1" x14ac:dyDescent="0.3">
      <c r="A47" s="1299"/>
      <c r="B47" s="268">
        <v>1200</v>
      </c>
      <c r="C47" s="269">
        <v>600</v>
      </c>
      <c r="D47" s="270">
        <v>190</v>
      </c>
      <c r="E47" s="238" t="s">
        <v>339</v>
      </c>
      <c r="F47" s="272">
        <v>71.428571428571431</v>
      </c>
      <c r="G47" s="272">
        <v>10.877889167362852</v>
      </c>
      <c r="H47" s="273" t="s">
        <v>268</v>
      </c>
      <c r="I47" s="445">
        <f>IF(E47="C",ROUNDUP(5500/140/КровляDDP!O47,0)*КровляDDP!O47," ")</f>
        <v>39.398399999999995</v>
      </c>
      <c r="J47" s="274">
        <v>2</v>
      </c>
      <c r="K47" s="275">
        <v>1.4400000000000002</v>
      </c>
      <c r="L47" s="255">
        <v>0.27360000000000001</v>
      </c>
      <c r="M47" s="222">
        <v>24</v>
      </c>
      <c r="N47" s="275">
        <v>6.5663999999999998</v>
      </c>
      <c r="O47" s="275">
        <v>72.230400000000003</v>
      </c>
      <c r="P47" s="266"/>
      <c r="Q47" s="479" t="e">
        <f t="shared" si="0"/>
        <v>#VALUE!</v>
      </c>
      <c r="R47" s="170" t="s">
        <v>417</v>
      </c>
      <c r="S47" s="102" t="e">
        <f t="shared" si="1"/>
        <v>#VALUE!</v>
      </c>
      <c r="U47" s="80"/>
      <c r="V47" s="2"/>
      <c r="W47" s="82"/>
      <c r="X47" s="4"/>
    </row>
    <row r="48" spans="1:24" ht="22.5" customHeight="1" thickBot="1" x14ac:dyDescent="0.3">
      <c r="A48" s="35" t="s">
        <v>25</v>
      </c>
      <c r="B48" s="252">
        <v>1200</v>
      </c>
      <c r="C48" s="250">
        <v>600</v>
      </c>
      <c r="D48" s="251">
        <v>40</v>
      </c>
      <c r="E48" s="238" t="s">
        <v>238</v>
      </c>
      <c r="F48" s="277"/>
      <c r="G48" s="278"/>
      <c r="H48" s="279" t="s">
        <v>705</v>
      </c>
      <c r="I48" s="178" t="str">
        <f>IF(E48="C",ROUNDUP(10000/180/КровляDDP!O48,0)*КровляDDP!O48," ")</f>
        <v xml:space="preserve"> </v>
      </c>
      <c r="J48" s="281">
        <v>5</v>
      </c>
      <c r="K48" s="282">
        <v>3.6</v>
      </c>
      <c r="L48" s="283">
        <v>0.14399999999999999</v>
      </c>
      <c r="M48" s="284">
        <v>48</v>
      </c>
      <c r="N48" s="282">
        <v>6.9119999999999999</v>
      </c>
      <c r="O48" s="282">
        <v>76.031999999999996</v>
      </c>
      <c r="P48" s="285"/>
      <c r="Q48" s="88">
        <f>L48*R48</f>
        <v>1183.9679999999998</v>
      </c>
      <c r="R48" s="1167">
        <v>8222</v>
      </c>
      <c r="S48" s="101">
        <f>R48*D48/1000</f>
        <v>328.88</v>
      </c>
      <c r="U48" s="80"/>
      <c r="V48" s="2"/>
      <c r="W48" s="82"/>
      <c r="X48" s="4"/>
    </row>
    <row r="49" spans="1:25" ht="22.5" customHeight="1" thickBot="1" x14ac:dyDescent="0.3">
      <c r="A49" s="1295" t="s">
        <v>29</v>
      </c>
      <c r="B49" s="203">
        <v>1200</v>
      </c>
      <c r="C49" s="287">
        <v>600</v>
      </c>
      <c r="D49" s="288">
        <v>50</v>
      </c>
      <c r="E49" s="238" t="s">
        <v>239</v>
      </c>
      <c r="F49" s="289"/>
      <c r="G49" s="263"/>
      <c r="H49" s="290" t="s">
        <v>704</v>
      </c>
      <c r="I49" s="178" t="str">
        <f>IF(E49="C",ROUNDUP(10000/180/КровляDDP!O49,0)*КровляDDP!O49," ")</f>
        <v xml:space="preserve"> </v>
      </c>
      <c r="J49" s="97">
        <v>4</v>
      </c>
      <c r="K49" s="166">
        <v>2.88</v>
      </c>
      <c r="L49" s="126">
        <v>0.14399999999999999</v>
      </c>
      <c r="M49" s="127">
        <v>48</v>
      </c>
      <c r="N49" s="166">
        <v>6.9119999999999999</v>
      </c>
      <c r="O49" s="166">
        <v>76.031999999999996</v>
      </c>
      <c r="P49" s="266"/>
      <c r="Q49" s="88">
        <f t="shared" si="0"/>
        <v>1183.9679999999998</v>
      </c>
      <c r="R49" s="170">
        <f>R48</f>
        <v>8222</v>
      </c>
      <c r="S49" s="101">
        <f t="shared" si="1"/>
        <v>411.1</v>
      </c>
      <c r="U49" s="80"/>
      <c r="V49" s="2"/>
      <c r="X49" s="4"/>
    </row>
    <row r="50" spans="1:25" ht="22.5" customHeight="1" thickBot="1" x14ac:dyDescent="0.3">
      <c r="A50" s="1296"/>
      <c r="B50" s="292"/>
      <c r="C50" s="293"/>
      <c r="D50" s="294"/>
      <c r="E50" s="295"/>
      <c r="F50" s="289"/>
      <c r="G50" s="289"/>
      <c r="H50" s="296"/>
      <c r="I50" s="297"/>
      <c r="J50" s="298"/>
      <c r="K50" s="299"/>
      <c r="L50" s="300"/>
      <c r="M50" s="301"/>
      <c r="N50" s="299"/>
      <c r="O50" s="299"/>
      <c r="P50" s="302"/>
      <c r="Q50" s="303"/>
      <c r="R50" s="304"/>
      <c r="S50" s="305"/>
      <c r="U50" s="80"/>
      <c r="V50" s="2"/>
      <c r="X50" s="2"/>
    </row>
    <row r="51" spans="1:25" ht="20.100000000000001" customHeight="1" x14ac:dyDescent="0.25">
      <c r="A51" s="18"/>
      <c r="B51" s="134"/>
      <c r="C51" s="134"/>
      <c r="D51" s="134"/>
      <c r="E51" s="138"/>
      <c r="F51" s="138"/>
      <c r="G51" s="138"/>
      <c r="H51" s="138"/>
      <c r="I51" s="138"/>
      <c r="J51" s="135"/>
      <c r="K51" s="134"/>
      <c r="L51" s="261"/>
      <c r="M51" s="135"/>
      <c r="N51" s="137"/>
      <c r="O51" s="134"/>
      <c r="P51" s="261"/>
      <c r="Q51" s="134"/>
      <c r="R51" s="134"/>
      <c r="S51" s="134"/>
    </row>
    <row r="52" spans="1:25" ht="18.75" customHeight="1" x14ac:dyDescent="0.25">
      <c r="A52" s="1" t="s">
        <v>7</v>
      </c>
      <c r="E52" s="2"/>
      <c r="F52" s="2"/>
      <c r="G52" s="2"/>
      <c r="H52" s="2"/>
      <c r="I52" s="2"/>
      <c r="O52" s="1275" t="s">
        <v>21</v>
      </c>
      <c r="P52" s="1275"/>
      <c r="Q52" s="1275"/>
      <c r="R52" s="1275"/>
      <c r="S52" s="1275"/>
      <c r="U52" s="2"/>
      <c r="V52" s="2"/>
      <c r="W52" s="82"/>
      <c r="X52" s="2"/>
      <c r="Y52" s="2"/>
    </row>
    <row r="53" spans="1:25" s="32" customFormat="1" ht="20.100000000000001" customHeight="1" x14ac:dyDescent="0.25">
      <c r="A53" s="471" t="s">
        <v>342</v>
      </c>
      <c r="J53" s="33"/>
      <c r="L53" s="34"/>
      <c r="M53" s="33"/>
      <c r="N53" s="59"/>
      <c r="O53" s="1244" t="s">
        <v>40</v>
      </c>
      <c r="P53" s="1244"/>
      <c r="Q53" s="1244"/>
      <c r="R53" s="1244"/>
      <c r="S53" s="1244"/>
      <c r="W53" s="84"/>
    </row>
    <row r="54" spans="1:25" ht="20.100000000000001" customHeight="1" x14ac:dyDescent="0.25">
      <c r="A54" s="26" t="s">
        <v>23</v>
      </c>
      <c r="E54" s="2"/>
      <c r="F54" s="2"/>
      <c r="G54" s="2"/>
      <c r="H54" s="2"/>
      <c r="I54" s="2"/>
      <c r="O54" s="1244" t="s">
        <v>39</v>
      </c>
      <c r="P54" s="1244"/>
      <c r="Q54" s="1244"/>
      <c r="R54" s="1244"/>
      <c r="S54" s="1244"/>
      <c r="U54" s="2"/>
      <c r="V54" s="2"/>
      <c r="W54" s="82"/>
      <c r="X54" s="2"/>
      <c r="Y54" s="2"/>
    </row>
    <row r="55" spans="1:25" ht="20.100000000000001" customHeight="1" x14ac:dyDescent="0.25">
      <c r="A55" s="26" t="s">
        <v>24</v>
      </c>
      <c r="E55" s="2"/>
      <c r="F55" s="2"/>
      <c r="G55" s="2"/>
      <c r="H55" s="2"/>
      <c r="I55" s="2"/>
      <c r="O55" s="1245" t="s">
        <v>37</v>
      </c>
      <c r="P55" s="1245"/>
      <c r="Q55" s="1245"/>
      <c r="R55" s="1245"/>
      <c r="S55" s="1245"/>
      <c r="U55" s="2"/>
      <c r="V55" s="2"/>
      <c r="W55" s="82"/>
      <c r="X55" s="2"/>
      <c r="Y55" s="2"/>
    </row>
    <row r="56" spans="1:25" ht="20.100000000000001" customHeight="1" x14ac:dyDescent="0.25">
      <c r="A56" s="26" t="s">
        <v>52</v>
      </c>
      <c r="E56" s="2"/>
      <c r="F56" s="2"/>
      <c r="G56" s="2"/>
      <c r="H56" s="2"/>
      <c r="I56" s="2"/>
      <c r="Q56" s="1245" t="s">
        <v>38</v>
      </c>
      <c r="R56" s="1245"/>
      <c r="S56" s="1245"/>
      <c r="T56" s="74"/>
      <c r="U56" s="81"/>
      <c r="V56" s="2"/>
      <c r="W56" s="82"/>
      <c r="X56" s="2"/>
      <c r="Y56" s="2"/>
    </row>
    <row r="57" spans="1:25" ht="20.100000000000001" customHeight="1" x14ac:dyDescent="0.25">
      <c r="A57" s="30" t="s">
        <v>54</v>
      </c>
      <c r="E57" s="2"/>
      <c r="F57" s="2"/>
      <c r="G57" s="4"/>
      <c r="H57" s="2"/>
      <c r="I57" s="5"/>
      <c r="K57" s="56"/>
      <c r="U57" s="2"/>
      <c r="V57" s="2"/>
      <c r="W57" s="82"/>
      <c r="X57" s="2"/>
      <c r="Y57" s="2"/>
    </row>
    <row r="58" spans="1:25" ht="20.100000000000001" customHeight="1" x14ac:dyDescent="0.25">
      <c r="A58" s="30" t="s">
        <v>240</v>
      </c>
      <c r="E58" s="2"/>
      <c r="F58" s="2"/>
      <c r="G58" s="4"/>
      <c r="H58" s="2"/>
      <c r="I58" s="5"/>
      <c r="K58" s="56"/>
      <c r="U58" s="2"/>
      <c r="V58" s="2"/>
      <c r="W58" s="82"/>
      <c r="X58" s="2"/>
      <c r="Y58" s="2"/>
    </row>
    <row r="59" spans="1:25" ht="20.100000000000001" customHeight="1" x14ac:dyDescent="0.25">
      <c r="A59" s="30" t="s">
        <v>612</v>
      </c>
      <c r="E59" s="2"/>
      <c r="F59" s="2"/>
      <c r="G59" s="4"/>
      <c r="H59" s="2"/>
      <c r="I59" s="5"/>
      <c r="K59" s="56"/>
      <c r="U59" s="2"/>
      <c r="V59" s="2"/>
      <c r="W59" s="82"/>
      <c r="X59" s="2"/>
      <c r="Y59" s="2"/>
    </row>
    <row r="60" spans="1:25" ht="20.100000000000001" customHeight="1" x14ac:dyDescent="0.25">
      <c r="A60" s="31"/>
      <c r="E60" s="2"/>
      <c r="F60" s="2"/>
      <c r="G60" s="2"/>
      <c r="H60" s="2"/>
      <c r="I60" s="2"/>
      <c r="U60" s="2"/>
      <c r="V60" s="2"/>
      <c r="W60" s="82"/>
      <c r="X60" s="2"/>
      <c r="Y60" s="2"/>
    </row>
    <row r="61" spans="1:25" ht="20.100000000000001" customHeight="1" x14ac:dyDescent="0.25">
      <c r="E61" s="2"/>
      <c r="F61" s="2"/>
      <c r="G61" s="2"/>
      <c r="H61" s="2"/>
      <c r="I61" s="2"/>
      <c r="U61" s="2"/>
      <c r="V61" s="2"/>
      <c r="W61" s="82"/>
      <c r="X61" s="2"/>
      <c r="Y61" s="2"/>
    </row>
    <row r="62" spans="1:25" ht="19.5" customHeight="1" x14ac:dyDescent="0.25">
      <c r="A62" s="2"/>
      <c r="E62" s="2"/>
      <c r="F62" s="2"/>
      <c r="G62" s="2"/>
      <c r="H62" s="2"/>
      <c r="I62" s="2"/>
      <c r="U62" s="2"/>
      <c r="V62" s="2"/>
      <c r="W62" s="82"/>
      <c r="X62" s="2"/>
      <c r="Y62" s="2"/>
    </row>
    <row r="63" spans="1:25" ht="20.100000000000001" customHeight="1" x14ac:dyDescent="0.25">
      <c r="A63" s="2"/>
      <c r="E63" s="2"/>
      <c r="F63" s="2"/>
      <c r="G63" s="2"/>
      <c r="H63" s="2"/>
      <c r="I63" s="2"/>
      <c r="U63" s="2"/>
      <c r="V63" s="2"/>
      <c r="W63" s="82"/>
      <c r="X63" s="2"/>
      <c r="Y63" s="2"/>
    </row>
    <row r="64" spans="1:25" ht="20.100000000000001" customHeight="1" x14ac:dyDescent="0.25">
      <c r="A64" s="2"/>
      <c r="C64" s="19"/>
      <c r="D64" s="20"/>
      <c r="E64" s="20"/>
      <c r="F64" s="20"/>
      <c r="G64" s="20"/>
      <c r="H64" s="20"/>
      <c r="I64" s="20"/>
      <c r="J64" s="21"/>
      <c r="K64" s="20"/>
      <c r="L64" s="22"/>
      <c r="M64" s="69"/>
      <c r="N64" s="60"/>
      <c r="O64" s="20"/>
      <c r="P64" s="22"/>
      <c r="Q64" s="22"/>
      <c r="R64" s="22"/>
      <c r="S64" s="22"/>
      <c r="U64" s="2"/>
      <c r="V64" s="2"/>
      <c r="W64" s="82"/>
      <c r="X64" s="2"/>
      <c r="Y64" s="2"/>
    </row>
    <row r="65" spans="2:25" ht="20.100000000000001" customHeight="1" x14ac:dyDescent="0.25">
      <c r="C65" s="23"/>
      <c r="D65" s="20"/>
      <c r="E65" s="20"/>
      <c r="F65" s="20"/>
      <c r="G65" s="20"/>
      <c r="H65" s="20"/>
      <c r="I65" s="20"/>
      <c r="J65" s="21"/>
      <c r="K65" s="20"/>
      <c r="L65" s="24"/>
      <c r="M65" s="70"/>
      <c r="N65" s="60"/>
      <c r="O65" s="20"/>
      <c r="P65" s="24"/>
      <c r="Q65" s="24"/>
      <c r="R65" s="24"/>
      <c r="S65" s="24"/>
      <c r="U65" s="2"/>
      <c r="V65" s="2"/>
      <c r="W65" s="82"/>
      <c r="X65" s="2"/>
      <c r="Y65" s="2"/>
    </row>
    <row r="66" spans="2:25" ht="20.100000000000001" customHeight="1" x14ac:dyDescent="0.25">
      <c r="C66" s="23"/>
      <c r="D66" s="20"/>
      <c r="E66" s="20"/>
      <c r="F66" s="20"/>
      <c r="G66" s="20"/>
      <c r="H66" s="20"/>
      <c r="I66" s="20"/>
      <c r="J66" s="21"/>
      <c r="K66" s="20"/>
      <c r="L66" s="24"/>
      <c r="M66" s="70"/>
      <c r="N66" s="60"/>
      <c r="O66" s="20"/>
      <c r="P66" s="24"/>
      <c r="Q66" s="24"/>
      <c r="R66" s="24"/>
      <c r="S66" s="24"/>
      <c r="U66" s="2"/>
      <c r="V66" s="2"/>
      <c r="W66" s="82"/>
      <c r="X66" s="2"/>
      <c r="Y66" s="2"/>
    </row>
    <row r="68" spans="2:25" x14ac:dyDescent="0.25">
      <c r="B68" s="25"/>
    </row>
  </sheetData>
  <mergeCells count="21">
    <mergeCell ref="A49:A50"/>
    <mergeCell ref="A4:S4"/>
    <mergeCell ref="A6:A7"/>
    <mergeCell ref="B6:B7"/>
    <mergeCell ref="C6:C7"/>
    <mergeCell ref="D6:D7"/>
    <mergeCell ref="E6:E7"/>
    <mergeCell ref="F6:F7"/>
    <mergeCell ref="H6:H7"/>
    <mergeCell ref="I6:I7"/>
    <mergeCell ref="J6:L6"/>
    <mergeCell ref="M6:N6"/>
    <mergeCell ref="O6:P6"/>
    <mergeCell ref="Q6:S6"/>
    <mergeCell ref="A9:A21"/>
    <mergeCell ref="A34:A47"/>
    <mergeCell ref="O52:S52"/>
    <mergeCell ref="O53:S53"/>
    <mergeCell ref="O54:S54"/>
    <mergeCell ref="O55:S55"/>
    <mergeCell ref="Q56:S56"/>
  </mergeCells>
  <hyperlinks>
    <hyperlink ref="O55" r:id="rId1"/>
    <hyperlink ref="Q56" r:id="rId2"/>
  </hyperlinks>
  <printOptions horizontalCentered="1"/>
  <pageMargins left="0.19685039370078741" right="0.19685039370078741" top="0.39370078740157483" bottom="0" header="0" footer="0"/>
  <pageSetup paperSize="9" scale="40" orientation="portrait" verticalDpi="1" r:id="rId3"/>
  <headerFooter alignWithMargins="0"/>
  <drawing r:id="rId4"/>
  <legacyDrawing r:id="rId5"/>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
    <tabColor rgb="FFFF0000"/>
  </sheetPr>
  <dimension ref="A1:AB77"/>
  <sheetViews>
    <sheetView showGridLines="0" view="pageBreakPreview" zoomScale="74" zoomScaleNormal="100" zoomScaleSheetLayoutView="74" workbookViewId="0">
      <pane xSplit="1" ySplit="7" topLeftCell="M8" activePane="bottomRight" state="frozen"/>
      <selection sqref="A1:IV65536"/>
      <selection pane="topRight" sqref="A1:IV65536"/>
      <selection pane="bottomLeft" sqref="A1:IV65536"/>
      <selection pane="bottomRight" activeCell="W1" sqref="W1:Y1048576"/>
    </sheetView>
  </sheetViews>
  <sheetFormatPr defaultColWidth="11.42578125" defaultRowHeight="18" x14ac:dyDescent="0.25"/>
  <cols>
    <col min="1" max="1" width="44.85546875" style="3" customWidth="1"/>
    <col min="2" max="4" width="9.7109375" style="2" customWidth="1"/>
    <col min="5" max="5" width="6.140625" style="71" customWidth="1"/>
    <col min="6" max="7" width="10.7109375" style="71" hidden="1" customWidth="1"/>
    <col min="8" max="8" width="16.28515625" style="71" customWidth="1"/>
    <col min="9" max="9" width="10.7109375" style="71" customWidth="1"/>
    <col min="10" max="10" width="11.5703125" style="4" customWidth="1"/>
    <col min="11" max="11" width="11.5703125" style="2" customWidth="1"/>
    <col min="12" max="12" width="11.5703125" style="5" customWidth="1"/>
    <col min="13" max="13" width="11.5703125" style="4" customWidth="1"/>
    <col min="14" max="14" width="11.5703125" style="56" customWidth="1"/>
    <col min="15" max="15" width="12.85546875" style="2" customWidth="1"/>
    <col min="16" max="16" width="13.42578125" style="5" customWidth="1"/>
    <col min="17" max="17" width="13.85546875" style="2" customWidth="1"/>
    <col min="18" max="18" width="13.5703125" style="2" customWidth="1"/>
    <col min="19" max="19" width="15.140625" style="2" customWidth="1"/>
    <col min="20" max="20" width="29.7109375" style="745" customWidth="1"/>
    <col min="21" max="21" width="11.42578125" style="953" customWidth="1"/>
    <col min="22" max="22" width="22.7109375" style="745" customWidth="1"/>
    <col min="23" max="23" width="11.42578125" style="2"/>
    <col min="24" max="24" width="11.42578125" style="79"/>
    <col min="25" max="25" width="10.140625" style="79" customWidth="1"/>
    <col min="26" max="26" width="10.7109375" style="86" customWidth="1"/>
    <col min="27" max="27" width="11.42578125" style="79"/>
    <col min="28" max="28" width="9.140625" customWidth="1"/>
    <col min="29" max="16384" width="11.42578125" style="2"/>
  </cols>
  <sheetData>
    <row r="1" spans="1:28" ht="26.25" x14ac:dyDescent="0.4">
      <c r="A1" s="75" t="s">
        <v>19</v>
      </c>
      <c r="V1" s="953" t="s">
        <v>413</v>
      </c>
    </row>
    <row r="2" spans="1:28" s="27" customFormat="1" ht="26.25" x14ac:dyDescent="0.4">
      <c r="A2" s="75" t="s">
        <v>20</v>
      </c>
      <c r="E2" s="72"/>
      <c r="F2" s="72"/>
      <c r="G2" s="72"/>
      <c r="H2" s="72"/>
      <c r="I2" s="72"/>
      <c r="J2" s="28"/>
      <c r="L2" s="29"/>
      <c r="M2" s="28"/>
      <c r="N2" s="57"/>
      <c r="P2" s="29"/>
      <c r="T2" s="1014"/>
      <c r="U2" s="1014" t="s">
        <v>415</v>
      </c>
      <c r="V2" s="1093">
        <f>'ЛАЙТ Рязань'!V2</f>
        <v>4</v>
      </c>
      <c r="X2" s="2"/>
      <c r="Y2" s="2"/>
      <c r="Z2" s="82"/>
      <c r="AA2" s="2"/>
    </row>
    <row r="3" spans="1:28" s="27" customFormat="1" ht="60" customHeight="1" x14ac:dyDescent="0.4">
      <c r="A3" s="2" t="s">
        <v>53</v>
      </c>
      <c r="E3" s="72"/>
      <c r="F3" s="72"/>
      <c r="G3" s="72"/>
      <c r="H3" s="72"/>
      <c r="I3" s="72"/>
      <c r="J3" s="28"/>
      <c r="L3" s="29"/>
      <c r="M3" s="28"/>
      <c r="N3" s="57"/>
      <c r="P3" s="29"/>
      <c r="T3" s="1014"/>
      <c r="U3" s="1014" t="s">
        <v>416</v>
      </c>
      <c r="V3" s="1094">
        <f>'ЛАЙТ Рязань'!V3</f>
        <v>4</v>
      </c>
      <c r="X3" s="2"/>
      <c r="Y3" s="2"/>
      <c r="Z3" s="82"/>
      <c r="AA3" s="2"/>
    </row>
    <row r="4" spans="1:28" x14ac:dyDescent="0.25">
      <c r="A4" s="1248" t="str">
        <f>'ЛАЙТ Рязань'!A4</f>
        <v>03.03.2011г.</v>
      </c>
      <c r="B4" s="1249"/>
      <c r="C4" s="1249"/>
      <c r="D4" s="1249"/>
      <c r="E4" s="1249"/>
      <c r="F4" s="1249"/>
      <c r="G4" s="1249"/>
      <c r="H4" s="1249"/>
      <c r="I4" s="1249"/>
      <c r="J4" s="1249"/>
      <c r="K4" s="1249"/>
      <c r="L4" s="1249"/>
      <c r="M4" s="1249"/>
      <c r="N4" s="1249"/>
      <c r="O4" s="1249"/>
      <c r="P4" s="1249"/>
      <c r="Q4" s="1249"/>
      <c r="R4" s="1249"/>
      <c r="S4" s="1249"/>
      <c r="T4" s="1095"/>
      <c r="U4" s="1096"/>
      <c r="W4" s="7"/>
    </row>
    <row r="5" spans="1:28" ht="18.75" thickBot="1" x14ac:dyDescent="0.3">
      <c r="A5" s="6"/>
      <c r="B5" s="7"/>
      <c r="C5" s="7"/>
      <c r="D5" s="7"/>
      <c r="E5" s="73"/>
      <c r="F5" s="73"/>
      <c r="G5" s="73"/>
      <c r="H5" s="73"/>
      <c r="I5" s="73"/>
      <c r="J5" s="7"/>
      <c r="K5" s="7"/>
      <c r="L5" s="7"/>
      <c r="M5" s="67"/>
      <c r="N5" s="58"/>
      <c r="O5" s="7"/>
      <c r="P5" s="7"/>
      <c r="Q5" s="1115">
        <f>'ЛАЙТ Рязань'!$Q$5</f>
        <v>67</v>
      </c>
      <c r="R5" s="1018">
        <f>INDEX('Доставка по областям'!$C$2:$D$90,'ЛАЙТ Рязань'!$Q$5,1)</f>
        <v>40</v>
      </c>
      <c r="S5" s="1018">
        <f>INDEX('Доставка по областям'!$C$2:$D$90,'ЛАЙТ Рязань'!$Q$5,2)</f>
        <v>64</v>
      </c>
      <c r="T5" s="1095"/>
      <c r="U5" s="1098" t="s">
        <v>412</v>
      </c>
      <c r="V5" s="1099">
        <f>IF($V$2&lt;4,INDEX('Доставка по областям'!$J$54:$J$57,V2)+INDEX('Доставка по областям'!$J$58:$J$61,$V$3),0)</f>
        <v>0</v>
      </c>
      <c r="W5" s="7"/>
    </row>
    <row r="6" spans="1:28" ht="72.75" customHeight="1" thickBot="1" x14ac:dyDescent="0.3">
      <c r="A6" s="1250" t="s">
        <v>0</v>
      </c>
      <c r="B6" s="1252" t="s">
        <v>1</v>
      </c>
      <c r="C6" s="1254" t="s">
        <v>2</v>
      </c>
      <c r="D6" s="1256" t="s">
        <v>3</v>
      </c>
      <c r="E6" s="1260" t="s">
        <v>36</v>
      </c>
      <c r="F6" s="1260" t="s">
        <v>56</v>
      </c>
      <c r="G6" s="109"/>
      <c r="H6" s="1260" t="s">
        <v>133</v>
      </c>
      <c r="I6" s="1260" t="s">
        <v>56</v>
      </c>
      <c r="J6" s="1276" t="s">
        <v>49</v>
      </c>
      <c r="K6" s="1277"/>
      <c r="L6" s="1278"/>
      <c r="M6" s="1273" t="s">
        <v>48</v>
      </c>
      <c r="N6" s="1274"/>
      <c r="O6" s="1265" t="s">
        <v>44</v>
      </c>
      <c r="P6" s="1266"/>
      <c r="Q6" s="1264" t="s">
        <v>340</v>
      </c>
      <c r="R6" s="1265"/>
      <c r="S6" s="1266"/>
      <c r="T6" s="1100" t="str">
        <f>INDEX('Доставка по областям'!$G$2:$G$90,'КРОВЛЯ Рязань'!$Q$5)</f>
        <v>Завод 'ТЕХНО' г.Рязань</v>
      </c>
      <c r="V6" s="745" t="s">
        <v>414</v>
      </c>
    </row>
    <row r="7" spans="1:28" ht="38.25" customHeight="1" thickBot="1" x14ac:dyDescent="0.3">
      <c r="A7" s="1251"/>
      <c r="B7" s="1253"/>
      <c r="C7" s="1255"/>
      <c r="D7" s="1257"/>
      <c r="E7" s="1263"/>
      <c r="F7" s="1262"/>
      <c r="G7" s="110"/>
      <c r="H7" s="1263"/>
      <c r="I7" s="1262"/>
      <c r="J7" s="472" t="s">
        <v>5</v>
      </c>
      <c r="K7" s="480" t="s">
        <v>17</v>
      </c>
      <c r="L7" s="481" t="s">
        <v>18</v>
      </c>
      <c r="M7" s="475" t="s">
        <v>47</v>
      </c>
      <c r="N7" s="476" t="s">
        <v>18</v>
      </c>
      <c r="O7" s="482" t="s">
        <v>43</v>
      </c>
      <c r="P7" s="476" t="s">
        <v>42</v>
      </c>
      <c r="Q7" s="458" t="s">
        <v>6</v>
      </c>
      <c r="R7" s="54" t="s">
        <v>18</v>
      </c>
      <c r="S7" s="41" t="s">
        <v>22</v>
      </c>
      <c r="V7" s="1101" t="str">
        <f>INDEX('Доставка по областям'!$J$2:$J$53,VLOOKUP(КровляDDP!A3,'Доставка по областям'!$A$2:$F$90,6,0))</f>
        <v>Рязанская</v>
      </c>
      <c r="X7" s="2"/>
      <c r="Y7" s="2"/>
      <c r="Z7" s="82"/>
      <c r="AA7" s="2"/>
    </row>
    <row r="8" spans="1:28" ht="24.95" customHeight="1" thickBot="1" x14ac:dyDescent="0.3">
      <c r="A8" s="35" t="s">
        <v>55</v>
      </c>
      <c r="B8" s="9">
        <v>1200</v>
      </c>
      <c r="C8" s="10">
        <v>600</v>
      </c>
      <c r="D8" s="11">
        <v>50</v>
      </c>
      <c r="E8" s="61" t="s">
        <v>239</v>
      </c>
      <c r="F8" s="106"/>
      <c r="G8" s="106"/>
      <c r="H8" s="210" t="s">
        <v>180</v>
      </c>
      <c r="I8" s="177" t="str">
        <f>IF(E8="C",ROUNDUP(10000/115/КровляDDP!O8,0)*КровляDDP!O8," ")</f>
        <v xml:space="preserve"> </v>
      </c>
      <c r="J8" s="45">
        <v>6</v>
      </c>
      <c r="K8" s="181">
        <v>4.32</v>
      </c>
      <c r="L8" s="198">
        <v>0.216</v>
      </c>
      <c r="M8" s="45">
        <v>32</v>
      </c>
      <c r="N8" s="179">
        <v>6.9119999999999999</v>
      </c>
      <c r="O8" s="179">
        <v>76.031999999999996</v>
      </c>
      <c r="P8" s="46"/>
      <c r="Q8" s="88">
        <f>L8*R8</f>
        <v>987.55200000000002</v>
      </c>
      <c r="R8" s="1165">
        <v>4572</v>
      </c>
      <c r="S8" s="101">
        <f>R8*D8/1000</f>
        <v>228.6</v>
      </c>
      <c r="T8" s="745" t="s">
        <v>427</v>
      </c>
      <c r="V8" s="953">
        <f>IF($V$2&lt;4,SUMIFS(РегСкидка!$C$3:$C$619,РегСкидка!$D$3:$D$619,INDEX('Доставка по областям'!$G$2:$G$90,'КРОВЛЯ Рязань'!$Q$5),РегСкидка!$B$3:$B$619,T8,РегСкидка!$E$3:$E$619,$V$7)/100*IF(OR($V$3=1,$V$3=2,$V$3=3,$V$3=4),1,0),0)</f>
        <v>0</v>
      </c>
      <c r="W8" s="745"/>
      <c r="X8" s="4"/>
      <c r="Y8" s="1234"/>
      <c r="Z8" s="82"/>
      <c r="AA8" s="2"/>
      <c r="AB8" s="2"/>
    </row>
    <row r="9" spans="1:28" ht="24.95" customHeight="1" thickBot="1" x14ac:dyDescent="0.3">
      <c r="A9" s="1297" t="s">
        <v>28</v>
      </c>
      <c r="B9" s="203">
        <v>1200</v>
      </c>
      <c r="C9" s="204">
        <v>600</v>
      </c>
      <c r="D9" s="209">
        <v>60</v>
      </c>
      <c r="E9" s="238" t="s">
        <v>239</v>
      </c>
      <c r="F9" s="263"/>
      <c r="G9" s="263"/>
      <c r="H9" s="264" t="s">
        <v>181</v>
      </c>
      <c r="I9" s="177" t="str">
        <f>IF(E9="C",ROUNDUP(10000/115/КровляDDP!O9,0)*КровляDDP!O9," ")</f>
        <v xml:space="preserve"> </v>
      </c>
      <c r="J9" s="97">
        <v>4</v>
      </c>
      <c r="K9" s="166">
        <v>2.8800000000000003</v>
      </c>
      <c r="L9" s="169">
        <v>0.17280000000000001</v>
      </c>
      <c r="M9" s="97">
        <v>40</v>
      </c>
      <c r="N9" s="166">
        <v>6.9120000000000008</v>
      </c>
      <c r="O9" s="166">
        <v>76.032000000000011</v>
      </c>
      <c r="P9" s="266"/>
      <c r="Q9" s="88">
        <f t="shared" ref="Q9:Q49" si="0">L9*R9</f>
        <v>790.04160000000002</v>
      </c>
      <c r="R9" s="1165">
        <v>4572</v>
      </c>
      <c r="S9" s="101">
        <f t="shared" ref="S9:S49" si="1">R9*D9/1000</f>
        <v>274.32</v>
      </c>
      <c r="T9" s="745" t="s">
        <v>427</v>
      </c>
      <c r="V9" s="953">
        <f>IF($V$2&lt;4,SUMIFS(РегСкидка!$C$3:$C$619,РегСкидка!$D$3:$D$619,INDEX('Доставка по областям'!$G$2:$G$90,'КРОВЛЯ Рязань'!$Q$5),РегСкидка!$B$3:$B$619,T9,РегСкидка!$E$3:$E$619,$V$7)/100*IF(OR($V$3=1,$V$3=2,$V$3=3,$V$3=4),1,0),0)</f>
        <v>0</v>
      </c>
      <c r="W9" s="745"/>
      <c r="X9" s="4"/>
      <c r="Y9" s="1234"/>
      <c r="Z9" s="82"/>
      <c r="AA9" s="2"/>
      <c r="AB9" s="2"/>
    </row>
    <row r="10" spans="1:28" ht="24.95" customHeight="1" thickBot="1" x14ac:dyDescent="0.3">
      <c r="A10" s="1297"/>
      <c r="B10" s="203">
        <v>1200</v>
      </c>
      <c r="C10" s="204">
        <v>600</v>
      </c>
      <c r="D10" s="209">
        <v>70</v>
      </c>
      <c r="E10" s="238" t="s">
        <v>339</v>
      </c>
      <c r="F10" s="263"/>
      <c r="G10" s="263"/>
      <c r="H10" s="264" t="s">
        <v>182</v>
      </c>
      <c r="I10" s="177">
        <f>IF(E10="C",ROUNDUP(10000/115/КровляDDP!O10,0)*КровляDDP!O10," ")</f>
        <v>90.316800000000001</v>
      </c>
      <c r="J10" s="97">
        <v>4</v>
      </c>
      <c r="K10" s="166">
        <v>2.8800000000000003</v>
      </c>
      <c r="L10" s="169">
        <v>0.2016</v>
      </c>
      <c r="M10" s="97">
        <v>32</v>
      </c>
      <c r="N10" s="166">
        <v>6.4512</v>
      </c>
      <c r="O10" s="166">
        <v>70.963200000000001</v>
      </c>
      <c r="P10" s="266"/>
      <c r="Q10" s="88">
        <f t="shared" si="0"/>
        <v>921.71519999999998</v>
      </c>
      <c r="R10" s="1165">
        <v>4572</v>
      </c>
      <c r="S10" s="101">
        <f t="shared" si="1"/>
        <v>320.04000000000002</v>
      </c>
      <c r="T10" s="745" t="s">
        <v>427</v>
      </c>
      <c r="V10" s="953">
        <f>IF($V$2&lt;4,SUMIFS(РегСкидка!$C$3:$C$619,РегСкидка!$D$3:$D$619,INDEX('Доставка по областям'!$G$2:$G$90,'КРОВЛЯ Рязань'!$Q$5),РегСкидка!$B$3:$B$619,T10,РегСкидка!$E$3:$E$619,$V$7)/100*IF(OR($V$3=1,$V$3=2,$V$3=3,$V$3=4),1,0),0)</f>
        <v>0</v>
      </c>
      <c r="W10" s="745"/>
      <c r="X10" s="4"/>
      <c r="Y10" s="1234"/>
      <c r="Z10" s="82"/>
      <c r="AA10" s="2"/>
      <c r="AB10" s="2"/>
    </row>
    <row r="11" spans="1:28" ht="24.95" customHeight="1" thickBot="1" x14ac:dyDescent="0.3">
      <c r="A11" s="1297"/>
      <c r="B11" s="203">
        <v>1200</v>
      </c>
      <c r="C11" s="204">
        <v>600</v>
      </c>
      <c r="D11" s="209">
        <v>80</v>
      </c>
      <c r="E11" s="238" t="s">
        <v>239</v>
      </c>
      <c r="F11" s="263">
        <v>100</v>
      </c>
      <c r="G11" s="263">
        <v>14.467592592592592</v>
      </c>
      <c r="H11" s="264" t="s">
        <v>183</v>
      </c>
      <c r="I11" s="177" t="str">
        <f>IF(E11="C",ROUNDUP(10000/115/КровляDDP!O11,0)*КровляDDP!O11," ")</f>
        <v xml:space="preserve"> </v>
      </c>
      <c r="J11" s="97">
        <v>3</v>
      </c>
      <c r="K11" s="166">
        <v>2.16</v>
      </c>
      <c r="L11" s="169">
        <v>0.17280000000000001</v>
      </c>
      <c r="M11" s="97">
        <v>40</v>
      </c>
      <c r="N11" s="166">
        <v>6.9120000000000008</v>
      </c>
      <c r="O11" s="166">
        <v>76.032000000000011</v>
      </c>
      <c r="P11" s="266"/>
      <c r="Q11" s="88">
        <f t="shared" si="0"/>
        <v>790.04160000000002</v>
      </c>
      <c r="R11" s="1165">
        <v>4572</v>
      </c>
      <c r="S11" s="101">
        <f t="shared" si="1"/>
        <v>365.76</v>
      </c>
      <c r="T11" s="745" t="s">
        <v>427</v>
      </c>
      <c r="V11" s="953">
        <f>IF($V$2&lt;4,SUMIFS(РегСкидка!$C$3:$C$619,РегСкидка!$D$3:$D$619,INDEX('Доставка по областям'!$G$2:$G$90,'КРОВЛЯ Рязань'!$Q$5),РегСкидка!$B$3:$B$619,T11,РегСкидка!$E$3:$E$619,$V$7)/100*IF(OR($V$3=1,$V$3=2,$V$3=3,$V$3=4),1,0),0)</f>
        <v>0</v>
      </c>
      <c r="W11" s="745"/>
      <c r="X11" s="4"/>
      <c r="Y11" s="1234"/>
      <c r="Z11" s="82"/>
      <c r="AA11" s="2"/>
      <c r="AB11" s="2"/>
    </row>
    <row r="12" spans="1:28" ht="24.95" customHeight="1" thickBot="1" x14ac:dyDescent="0.3">
      <c r="A12" s="1297"/>
      <c r="B12" s="203">
        <v>1200</v>
      </c>
      <c r="C12" s="204">
        <v>600</v>
      </c>
      <c r="D12" s="209">
        <v>90</v>
      </c>
      <c r="E12" s="238" t="s">
        <v>339</v>
      </c>
      <c r="F12" s="263">
        <v>100</v>
      </c>
      <c r="G12" s="263">
        <v>16.075102880658438</v>
      </c>
      <c r="H12" s="264" t="s">
        <v>184</v>
      </c>
      <c r="I12" s="177">
        <f>IF(E12="C",ROUNDUP(10000/115/КровляDDP!O12,0)*КровляDDP!O12," ")</f>
        <v>87.091200000000015</v>
      </c>
      <c r="J12" s="97">
        <v>3</v>
      </c>
      <c r="K12" s="166">
        <v>2.16</v>
      </c>
      <c r="L12" s="169">
        <v>0.19439999999999999</v>
      </c>
      <c r="M12" s="97">
        <v>32</v>
      </c>
      <c r="N12" s="166">
        <v>6.2207999999999997</v>
      </c>
      <c r="O12" s="166">
        <v>68.428799999999995</v>
      </c>
      <c r="P12" s="266"/>
      <c r="Q12" s="88">
        <f t="shared" si="0"/>
        <v>888.79679999999996</v>
      </c>
      <c r="R12" s="1165">
        <v>4572</v>
      </c>
      <c r="S12" s="101">
        <f t="shared" si="1"/>
        <v>411.48</v>
      </c>
      <c r="T12" s="745" t="s">
        <v>427</v>
      </c>
      <c r="V12" s="953">
        <f>IF($V$2&lt;4,SUMIFS(РегСкидка!$C$3:$C$619,РегСкидка!$D$3:$D$619,INDEX('Доставка по областям'!$G$2:$G$90,'КРОВЛЯ Рязань'!$Q$5),РегСкидка!$B$3:$B$619,T12,РегСкидка!$E$3:$E$619,$V$7)/100*IF(OR($V$3=1,$V$3=2,$V$3=3,$V$3=4),1,0),0)</f>
        <v>0</v>
      </c>
      <c r="W12" s="745"/>
      <c r="X12" s="4"/>
      <c r="Y12" s="1234"/>
      <c r="Z12" s="82"/>
      <c r="AA12" s="2"/>
      <c r="AB12" s="2"/>
    </row>
    <row r="13" spans="1:28" ht="24.95" customHeight="1" thickBot="1" x14ac:dyDescent="0.3">
      <c r="A13" s="1297"/>
      <c r="B13" s="203">
        <v>1200</v>
      </c>
      <c r="C13" s="204">
        <v>600</v>
      </c>
      <c r="D13" s="209">
        <v>100</v>
      </c>
      <c r="E13" s="238" t="s">
        <v>239</v>
      </c>
      <c r="F13" s="263"/>
      <c r="G13" s="263">
        <v>0</v>
      </c>
      <c r="H13" s="264" t="s">
        <v>185</v>
      </c>
      <c r="I13" s="177" t="str">
        <f>IF(E13="C",ROUNDUP(10000/115/КровляDDP!O13,0)*КровляDDP!O13," ")</f>
        <v xml:space="preserve"> </v>
      </c>
      <c r="J13" s="97">
        <v>3</v>
      </c>
      <c r="K13" s="166">
        <v>2.16</v>
      </c>
      <c r="L13" s="169">
        <v>0.216</v>
      </c>
      <c r="M13" s="97">
        <v>32</v>
      </c>
      <c r="N13" s="166">
        <v>6.9119999999999999</v>
      </c>
      <c r="O13" s="166">
        <v>76.031999999999996</v>
      </c>
      <c r="P13" s="266"/>
      <c r="Q13" s="88">
        <f t="shared" si="0"/>
        <v>987.55200000000002</v>
      </c>
      <c r="R13" s="1165">
        <v>4572</v>
      </c>
      <c r="S13" s="101">
        <f t="shared" si="1"/>
        <v>457.2</v>
      </c>
      <c r="T13" s="745" t="s">
        <v>427</v>
      </c>
      <c r="V13" s="953">
        <f>IF($V$2&lt;4,SUMIFS(РегСкидка!$C$3:$C$619,РегСкидка!$D$3:$D$619,INDEX('Доставка по областям'!$G$2:$G$90,'КРОВЛЯ Рязань'!$Q$5),РегСкидка!$B$3:$B$619,T13,РегСкидка!$E$3:$E$619,$V$7)/100*IF(OR($V$3=1,$V$3=2,$V$3=3,$V$3=4),1,0),0)</f>
        <v>0</v>
      </c>
      <c r="W13" s="745"/>
      <c r="X13" s="4"/>
      <c r="Y13" s="1234"/>
      <c r="Z13" s="82"/>
      <c r="AA13" s="2"/>
      <c r="AB13" s="2"/>
    </row>
    <row r="14" spans="1:28" ht="24.95" customHeight="1" thickBot="1" x14ac:dyDescent="0.3">
      <c r="A14" s="1297"/>
      <c r="B14" s="203">
        <v>1200</v>
      </c>
      <c r="C14" s="204">
        <v>600</v>
      </c>
      <c r="D14" s="209">
        <v>110</v>
      </c>
      <c r="E14" s="238" t="s">
        <v>239</v>
      </c>
      <c r="F14" s="263">
        <v>100</v>
      </c>
      <c r="G14" s="263">
        <v>15.031265031265031</v>
      </c>
      <c r="H14" s="264" t="s">
        <v>186</v>
      </c>
      <c r="I14" s="177" t="str">
        <f>IF(E14="C",ROUNDUP(10000/115/КровляDDP!O14,0)*КровляDDP!O14," ")</f>
        <v xml:space="preserve"> </v>
      </c>
      <c r="J14" s="97">
        <v>3</v>
      </c>
      <c r="K14" s="166">
        <v>2.16</v>
      </c>
      <c r="L14" s="169">
        <v>0.23760000000000001</v>
      </c>
      <c r="M14" s="97">
        <v>28</v>
      </c>
      <c r="N14" s="166">
        <v>6.6528</v>
      </c>
      <c r="O14" s="166">
        <v>73.180800000000005</v>
      </c>
      <c r="P14" s="266"/>
      <c r="Q14" s="88">
        <f t="shared" si="0"/>
        <v>1086.3072</v>
      </c>
      <c r="R14" s="1165">
        <v>4572</v>
      </c>
      <c r="S14" s="101">
        <f t="shared" si="1"/>
        <v>502.92</v>
      </c>
      <c r="T14" s="745" t="s">
        <v>427</v>
      </c>
      <c r="V14" s="953">
        <f>IF($V$2&lt;4,SUMIFS(РегСкидка!$C$3:$C$619,РегСкидка!$D$3:$D$619,INDEX('Доставка по областям'!$G$2:$G$90,'КРОВЛЯ Рязань'!$Q$5),РегСкидка!$B$3:$B$619,T14,РегСкидка!$E$3:$E$619,$V$7)/100*IF(OR($V$3=1,$V$3=2,$V$3=3,$V$3=4),1,0),0)</f>
        <v>0</v>
      </c>
      <c r="W14" s="745"/>
      <c r="X14" s="4"/>
      <c r="Y14" s="1234"/>
      <c r="Z14" s="82"/>
      <c r="AA14" s="2"/>
      <c r="AB14" s="2"/>
    </row>
    <row r="15" spans="1:28" ht="24.95" customHeight="1" thickBot="1" x14ac:dyDescent="0.3">
      <c r="A15" s="1297"/>
      <c r="B15" s="203">
        <v>1200</v>
      </c>
      <c r="C15" s="204">
        <v>600</v>
      </c>
      <c r="D15" s="209">
        <v>120</v>
      </c>
      <c r="E15" s="238" t="s">
        <v>239</v>
      </c>
      <c r="F15" s="263">
        <v>100</v>
      </c>
      <c r="G15" s="263">
        <v>14.467592592592592</v>
      </c>
      <c r="H15" s="264" t="s">
        <v>187</v>
      </c>
      <c r="I15" s="177" t="str">
        <f>IF(E15="C",ROUNDUP(10000/115/КровляDDP!O15,0)*КровляDDP!O15," ")</f>
        <v xml:space="preserve"> </v>
      </c>
      <c r="J15" s="97">
        <v>2</v>
      </c>
      <c r="K15" s="166">
        <v>1.4400000000000002</v>
      </c>
      <c r="L15" s="169">
        <v>0.17280000000000001</v>
      </c>
      <c r="M15" s="97">
        <v>40</v>
      </c>
      <c r="N15" s="166">
        <v>6.9120000000000008</v>
      </c>
      <c r="O15" s="166">
        <v>76.032000000000011</v>
      </c>
      <c r="P15" s="266"/>
      <c r="Q15" s="88">
        <f t="shared" si="0"/>
        <v>790.04160000000002</v>
      </c>
      <c r="R15" s="1165">
        <v>4572</v>
      </c>
      <c r="S15" s="101">
        <f t="shared" si="1"/>
        <v>548.64</v>
      </c>
      <c r="T15" s="745" t="s">
        <v>427</v>
      </c>
      <c r="V15" s="953">
        <f>IF($V$2&lt;4,SUMIFS(РегСкидка!$C$3:$C$619,РегСкидка!$D$3:$D$619,INDEX('Доставка по областям'!$G$2:$G$90,'КРОВЛЯ Рязань'!$Q$5),РегСкидка!$B$3:$B$619,T15,РегСкидка!$E$3:$E$619,$V$7)/100*IF(OR($V$3=1,$V$3=2,$V$3=3,$V$3=4),1,0),0)</f>
        <v>0</v>
      </c>
      <c r="W15" s="745"/>
      <c r="X15" s="4"/>
      <c r="Y15" s="1234"/>
      <c r="Z15" s="82"/>
      <c r="AA15" s="2"/>
      <c r="AB15" s="2"/>
    </row>
    <row r="16" spans="1:28" ht="24.95" customHeight="1" thickBot="1" x14ac:dyDescent="0.3">
      <c r="A16" s="1297"/>
      <c r="B16" s="203">
        <v>1200</v>
      </c>
      <c r="C16" s="204">
        <v>600</v>
      </c>
      <c r="D16" s="209">
        <v>130</v>
      </c>
      <c r="E16" s="238" t="s">
        <v>339</v>
      </c>
      <c r="F16" s="263">
        <v>100</v>
      </c>
      <c r="G16" s="263">
        <v>14.83855650522317</v>
      </c>
      <c r="H16" s="264" t="s">
        <v>188</v>
      </c>
      <c r="I16" s="177">
        <f>IF(E16="C",ROUNDUP(10000/115/КровляDDP!O16,0)*КровляDDP!O16," ")</f>
        <v>87.609599999999986</v>
      </c>
      <c r="J16" s="97">
        <v>2</v>
      </c>
      <c r="K16" s="166">
        <v>1.4400000000000002</v>
      </c>
      <c r="L16" s="169">
        <v>0.18720000000000001</v>
      </c>
      <c r="M16" s="97">
        <v>36</v>
      </c>
      <c r="N16" s="166">
        <v>6.7392000000000003</v>
      </c>
      <c r="O16" s="166">
        <v>74.131200000000007</v>
      </c>
      <c r="P16" s="266"/>
      <c r="Q16" s="88">
        <f t="shared" si="0"/>
        <v>855.87840000000006</v>
      </c>
      <c r="R16" s="1165">
        <v>4572</v>
      </c>
      <c r="S16" s="101">
        <f t="shared" si="1"/>
        <v>594.36</v>
      </c>
      <c r="T16" s="745" t="s">
        <v>427</v>
      </c>
      <c r="V16" s="953">
        <f>IF($V$2&lt;4,SUMIFS(РегСкидка!$C$3:$C$619,РегСкидка!$D$3:$D$619,INDEX('Доставка по областям'!$G$2:$G$90,'КРОВЛЯ Рязань'!$Q$5),РегСкидка!$B$3:$B$619,T16,РегСкидка!$E$3:$E$619,$V$7)/100*IF(OR($V$3=1,$V$3=2,$V$3=3,$V$3=4),1,0),0)</f>
        <v>0</v>
      </c>
      <c r="W16" s="745"/>
      <c r="X16" s="4"/>
      <c r="Y16" s="1234"/>
      <c r="Z16" s="82"/>
      <c r="AA16" s="2"/>
      <c r="AB16" s="2"/>
    </row>
    <row r="17" spans="1:28" ht="24.95" customHeight="1" thickBot="1" x14ac:dyDescent="0.3">
      <c r="A17" s="1297"/>
      <c r="B17" s="203">
        <v>1200</v>
      </c>
      <c r="C17" s="204">
        <v>600</v>
      </c>
      <c r="D17" s="209">
        <v>140</v>
      </c>
      <c r="E17" s="238" t="s">
        <v>339</v>
      </c>
      <c r="F17" s="263">
        <v>100</v>
      </c>
      <c r="G17" s="263">
        <v>15.500992063492063</v>
      </c>
      <c r="H17" s="264" t="s">
        <v>189</v>
      </c>
      <c r="I17" s="177">
        <f>IF(E17="C",ROUNDUP(10000/115/КровляDDP!O17,0)*КровляDDP!O17," ")</f>
        <v>90.316800000000001</v>
      </c>
      <c r="J17" s="97">
        <v>2</v>
      </c>
      <c r="K17" s="166">
        <v>1.4400000000000002</v>
      </c>
      <c r="L17" s="169">
        <v>0.2016</v>
      </c>
      <c r="M17" s="97">
        <v>32</v>
      </c>
      <c r="N17" s="166">
        <v>6.4512</v>
      </c>
      <c r="O17" s="166">
        <v>70.963200000000001</v>
      </c>
      <c r="P17" s="266"/>
      <c r="Q17" s="88">
        <f t="shared" si="0"/>
        <v>921.71519999999998</v>
      </c>
      <c r="R17" s="1165">
        <v>4572</v>
      </c>
      <c r="S17" s="101">
        <f t="shared" si="1"/>
        <v>640.08000000000004</v>
      </c>
      <c r="T17" s="745" t="s">
        <v>427</v>
      </c>
      <c r="V17" s="953">
        <f>IF($V$2&lt;4,SUMIFS(РегСкидка!$C$3:$C$619,РегСкидка!$D$3:$D$619,INDEX('Доставка по областям'!$G$2:$G$90,'КРОВЛЯ Рязань'!$Q$5),РегСкидка!$B$3:$B$619,T17,РегСкидка!$E$3:$E$619,$V$7)/100*IF(OR($V$3=1,$V$3=2,$V$3=3,$V$3=4),1,0),0)</f>
        <v>0</v>
      </c>
      <c r="W17" s="745"/>
      <c r="X17" s="4"/>
      <c r="Y17" s="1234"/>
      <c r="Z17" s="82"/>
      <c r="AA17" s="2"/>
      <c r="AB17" s="2"/>
    </row>
    <row r="18" spans="1:28" ht="24.95" customHeight="1" thickBot="1" x14ac:dyDescent="0.3">
      <c r="A18" s="1297"/>
      <c r="B18" s="203">
        <v>1200</v>
      </c>
      <c r="C18" s="204">
        <v>600</v>
      </c>
      <c r="D18" s="209">
        <v>150</v>
      </c>
      <c r="E18" s="238" t="s">
        <v>339</v>
      </c>
      <c r="F18" s="263">
        <v>100</v>
      </c>
      <c r="G18" s="263">
        <v>14.467592592592593</v>
      </c>
      <c r="H18" s="264" t="s">
        <v>190</v>
      </c>
      <c r="I18" s="177">
        <f>IF(E18="C",ROUNDUP(10000/115/КровляDDP!O18,0)*КровляDDP!O18," ")</f>
        <v>89.855999999999995</v>
      </c>
      <c r="J18" s="97">
        <v>2</v>
      </c>
      <c r="K18" s="166">
        <v>1.4400000000000002</v>
      </c>
      <c r="L18" s="169">
        <v>0.216</v>
      </c>
      <c r="M18" s="97">
        <v>32</v>
      </c>
      <c r="N18" s="166">
        <v>6.9119999999999999</v>
      </c>
      <c r="O18" s="166">
        <v>76.031999999999996</v>
      </c>
      <c r="P18" s="266"/>
      <c r="Q18" s="88">
        <f t="shared" si="0"/>
        <v>987.55200000000002</v>
      </c>
      <c r="R18" s="1165">
        <v>4572</v>
      </c>
      <c r="S18" s="101">
        <f t="shared" si="1"/>
        <v>685.8</v>
      </c>
      <c r="T18" s="745" t="s">
        <v>427</v>
      </c>
      <c r="V18" s="953">
        <f>IF($V$2&lt;4,SUMIFS(РегСкидка!$C$3:$C$619,РегСкидка!$D$3:$D$619,INDEX('Доставка по областям'!$G$2:$G$90,'КРОВЛЯ Рязань'!$Q$5),РегСкидка!$B$3:$B$619,T18,РегСкидка!$E$3:$E$619,$V$7)/100*IF(OR($V$3=1,$V$3=2,$V$3=3,$V$3=4),1,0),0)</f>
        <v>0</v>
      </c>
      <c r="W18" s="745"/>
      <c r="X18" s="4"/>
      <c r="Y18" s="1234"/>
      <c r="Z18" s="82"/>
      <c r="AA18" s="2"/>
      <c r="AB18" s="2"/>
    </row>
    <row r="19" spans="1:28" ht="24.95" customHeight="1" thickBot="1" x14ac:dyDescent="0.3">
      <c r="A19" s="1297"/>
      <c r="B19" s="203">
        <v>1200</v>
      </c>
      <c r="C19" s="204">
        <v>600</v>
      </c>
      <c r="D19" s="209">
        <v>160</v>
      </c>
      <c r="E19" s="238" t="s">
        <v>339</v>
      </c>
      <c r="F19" s="263">
        <v>100</v>
      </c>
      <c r="G19" s="263">
        <v>15.500992063492063</v>
      </c>
      <c r="H19" s="264" t="s">
        <v>259</v>
      </c>
      <c r="I19" s="177">
        <f>IF(E19="C",ROUNDUP(10000/115/КровляDDP!O19,0)*КровляDDP!O19," ")</f>
        <v>90.316799999999986</v>
      </c>
      <c r="J19" s="97">
        <v>2</v>
      </c>
      <c r="K19" s="166">
        <v>1.44</v>
      </c>
      <c r="L19" s="169">
        <v>0.23039999999999999</v>
      </c>
      <c r="M19" s="97">
        <v>28</v>
      </c>
      <c r="N19" s="166">
        <v>6.4512</v>
      </c>
      <c r="O19" s="166">
        <v>70.963200000000001</v>
      </c>
      <c r="P19" s="266"/>
      <c r="Q19" s="88">
        <f t="shared" si="0"/>
        <v>1053.3887999999999</v>
      </c>
      <c r="R19" s="1165">
        <v>4572</v>
      </c>
      <c r="S19" s="101">
        <f t="shared" si="1"/>
        <v>731.52</v>
      </c>
      <c r="T19" s="745" t="s">
        <v>427</v>
      </c>
      <c r="V19" s="953">
        <f>IF($V$2&lt;4,SUMIFS(РегСкидка!$C$3:$C$619,РегСкидка!$D$3:$D$619,INDEX('Доставка по областям'!$G$2:$G$90,'КРОВЛЯ Рязань'!$Q$5),РегСкидка!$B$3:$B$619,T19,РегСкидка!$E$3:$E$619,$V$7)/100*IF(OR($V$3=1,$V$3=2,$V$3=3,$V$3=4),1,0),0)</f>
        <v>0</v>
      </c>
      <c r="W19" s="745"/>
      <c r="X19" s="4"/>
      <c r="Y19" s="1234"/>
      <c r="Z19" s="82"/>
      <c r="AA19" s="2"/>
      <c r="AB19" s="2"/>
    </row>
    <row r="20" spans="1:28" ht="24.95" customHeight="1" thickBot="1" x14ac:dyDescent="0.3">
      <c r="A20" s="1297"/>
      <c r="B20" s="203">
        <v>1200</v>
      </c>
      <c r="C20" s="204">
        <v>600</v>
      </c>
      <c r="D20" s="209">
        <v>170</v>
      </c>
      <c r="E20" s="238" t="s">
        <v>339</v>
      </c>
      <c r="F20" s="263">
        <v>100</v>
      </c>
      <c r="G20" s="263">
        <v>14.589169000933706</v>
      </c>
      <c r="H20" s="264" t="s">
        <v>191</v>
      </c>
      <c r="I20" s="177">
        <f>IF(E20="C",ROUNDUP(10000/115/КровляDDP!O20,0)*КровляDDP!O20," ")</f>
        <v>89.107200000000006</v>
      </c>
      <c r="J20" s="97">
        <v>2</v>
      </c>
      <c r="K20" s="166">
        <v>1.44</v>
      </c>
      <c r="L20" s="169">
        <v>0.24479999999999999</v>
      </c>
      <c r="M20" s="97">
        <v>28</v>
      </c>
      <c r="N20" s="166">
        <v>6.8544</v>
      </c>
      <c r="O20" s="166">
        <v>75.398399999999995</v>
      </c>
      <c r="P20" s="266"/>
      <c r="Q20" s="88">
        <f t="shared" si="0"/>
        <v>1119.2256</v>
      </c>
      <c r="R20" s="1165">
        <v>4572</v>
      </c>
      <c r="S20" s="101">
        <f t="shared" si="1"/>
        <v>777.24</v>
      </c>
      <c r="T20" s="745" t="s">
        <v>427</v>
      </c>
      <c r="V20" s="953">
        <f>IF($V$2&lt;4,SUMIFS(РегСкидка!$C$3:$C$619,РегСкидка!$D$3:$D$619,INDEX('Доставка по областям'!$G$2:$G$90,'КРОВЛЯ Рязань'!$Q$5),РегСкидка!$B$3:$B$619,T20,РегСкидка!$E$3:$E$619,$V$7)/100*IF(OR($V$3=1,$V$3=2,$V$3=3,$V$3=4),1,0),0)</f>
        <v>0</v>
      </c>
      <c r="W20" s="745"/>
      <c r="X20" s="4"/>
      <c r="Y20" s="1234"/>
      <c r="Z20" s="82"/>
      <c r="AA20" s="2"/>
      <c r="AB20" s="2"/>
    </row>
    <row r="21" spans="1:28" ht="24.95" customHeight="1" thickBot="1" x14ac:dyDescent="0.3">
      <c r="A21" s="1298"/>
      <c r="B21" s="240">
        <v>1200</v>
      </c>
      <c r="C21" s="241">
        <v>600</v>
      </c>
      <c r="D21" s="242">
        <v>180</v>
      </c>
      <c r="E21" s="238" t="s">
        <v>339</v>
      </c>
      <c r="F21" s="289">
        <v>100</v>
      </c>
      <c r="G21" s="289">
        <v>16.075102880658438</v>
      </c>
      <c r="H21" s="317" t="s">
        <v>260</v>
      </c>
      <c r="I21" s="445">
        <f>IF(E21="C",ROUNDUP(10000/115/КровляDDP!O21,0)*КровляDDP!O21," ")</f>
        <v>87.091200000000001</v>
      </c>
      <c r="J21" s="306">
        <v>2</v>
      </c>
      <c r="K21" s="167">
        <v>1.44</v>
      </c>
      <c r="L21" s="307">
        <v>0.25919999999999999</v>
      </c>
      <c r="M21" s="306">
        <v>24</v>
      </c>
      <c r="N21" s="167">
        <v>6.2207999999999997</v>
      </c>
      <c r="O21" s="167">
        <v>68.428799999999995</v>
      </c>
      <c r="P21" s="308"/>
      <c r="Q21" s="614">
        <f t="shared" si="0"/>
        <v>1185.0624</v>
      </c>
      <c r="R21" s="39">
        <v>4572</v>
      </c>
      <c r="S21" s="615">
        <f t="shared" si="1"/>
        <v>822.96</v>
      </c>
      <c r="T21" s="745" t="s">
        <v>427</v>
      </c>
      <c r="V21" s="953">
        <f>IF($V$2&lt;4,SUMIFS(РегСкидка!$C$3:$C$619,РегСкидка!$D$3:$D$619,INDEX('Доставка по областям'!$G$2:$G$90,'КРОВЛЯ Рязань'!$Q$5),РегСкидка!$B$3:$B$619,T21,РегСкидка!$E$3:$E$619,$V$7)/100*IF(OR($V$3=1,$V$3=2,$V$3=3,$V$3=4),1,0),0)</f>
        <v>0</v>
      </c>
      <c r="W21" s="745"/>
      <c r="X21" s="4"/>
      <c r="Y21" s="1234"/>
      <c r="Z21" s="82"/>
      <c r="AA21" s="2"/>
      <c r="AB21" s="2"/>
    </row>
    <row r="22" spans="1:28" ht="24.95" customHeight="1" thickBot="1" x14ac:dyDescent="0.3">
      <c r="A22" s="1146" t="s">
        <v>723</v>
      </c>
      <c r="B22" s="450">
        <v>1200</v>
      </c>
      <c r="C22" s="451">
        <v>600</v>
      </c>
      <c r="D22" s="452">
        <v>50</v>
      </c>
      <c r="E22" s="238" t="s">
        <v>339</v>
      </c>
      <c r="F22" s="112"/>
      <c r="G22" s="112"/>
      <c r="H22" s="211" t="s">
        <v>725</v>
      </c>
      <c r="I22" s="178">
        <f>IF(E22="C",ROUNDUP(10000/115/КровляDDP!O22,0)*КровляDDP!O22," ")</f>
        <v>89.855999999999995</v>
      </c>
      <c r="J22" s="453">
        <v>6</v>
      </c>
      <c r="K22" s="185">
        <v>4.32</v>
      </c>
      <c r="L22" s="188">
        <v>0.216</v>
      </c>
      <c r="M22" s="453">
        <v>32</v>
      </c>
      <c r="N22" s="185">
        <v>6.9119999999999999</v>
      </c>
      <c r="O22" s="185">
        <v>76.031999999999996</v>
      </c>
      <c r="P22" s="55"/>
      <c r="Q22" s="88">
        <f>L22*R22</f>
        <v>1017.144</v>
      </c>
      <c r="R22" s="1165">
        <v>4709</v>
      </c>
      <c r="S22" s="101">
        <f>R22*D22/1000</f>
        <v>235.45</v>
      </c>
      <c r="T22" s="745" t="s">
        <v>427</v>
      </c>
      <c r="V22" s="953">
        <f>IF($V$2&lt;4,SUMIFS(РегСкидка!$C$3:$C$619,РегСкидка!$D$3:$D$619,INDEX('Доставка по областям'!$G$2:$G$90,'КРОВЛЯ Рязань'!$Q$5),РегСкидка!$B$3:$B$619,T22,РегСкидка!$E$3:$E$619,$V$7)/100*IF(OR($V$3=1,$V$3=2,$V$3=3,$V$3=4),1,0),0)</f>
        <v>0</v>
      </c>
      <c r="W22" s="745"/>
      <c r="X22" s="4"/>
      <c r="Y22" s="1234"/>
      <c r="Z22" s="82"/>
      <c r="AA22" s="2"/>
      <c r="AB22" s="2"/>
    </row>
    <row r="23" spans="1:28" ht="24.95" customHeight="1" thickBot="1" x14ac:dyDescent="0.3">
      <c r="A23" s="1144"/>
      <c r="B23" s="203">
        <v>1200</v>
      </c>
      <c r="C23" s="204">
        <v>600</v>
      </c>
      <c r="D23" s="209">
        <v>60</v>
      </c>
      <c r="E23" s="238" t="s">
        <v>339</v>
      </c>
      <c r="F23" s="263"/>
      <c r="G23" s="263"/>
      <c r="H23" s="264" t="s">
        <v>726</v>
      </c>
      <c r="I23" s="177">
        <f>IF(E23="C",ROUNDUP(10000/115/КровляDDP!O23,0)*КровляDDP!O23," ")</f>
        <v>89.855999999999995</v>
      </c>
      <c r="J23" s="97">
        <v>4</v>
      </c>
      <c r="K23" s="166">
        <v>2.8800000000000003</v>
      </c>
      <c r="L23" s="169">
        <v>0.17280000000000001</v>
      </c>
      <c r="M23" s="97">
        <v>40</v>
      </c>
      <c r="N23" s="166">
        <v>6.9120000000000008</v>
      </c>
      <c r="O23" s="166">
        <v>76.032000000000011</v>
      </c>
      <c r="P23" s="266"/>
      <c r="Q23" s="88">
        <f t="shared" ref="Q23:Q32" si="2">L23*R23</f>
        <v>813.7152000000001</v>
      </c>
      <c r="R23" s="1165">
        <v>4709</v>
      </c>
      <c r="S23" s="101">
        <f t="shared" ref="S23:S32" si="3">R23*D23/1000</f>
        <v>282.54000000000002</v>
      </c>
      <c r="T23" s="745" t="s">
        <v>427</v>
      </c>
      <c r="V23" s="953">
        <f>IF($V$2&lt;4,SUMIFS(РегСкидка!$C$3:$C$619,РегСкидка!$D$3:$D$619,INDEX('Доставка по областям'!$G$2:$G$90,'КРОВЛЯ Рязань'!$Q$5),РегСкидка!$B$3:$B$619,T23,РегСкидка!$E$3:$E$619,$V$7)/100*IF(OR($V$3=1,$V$3=2,$V$3=3,$V$3=4),1,0),0)</f>
        <v>0</v>
      </c>
      <c r="W23" s="745"/>
      <c r="X23" s="4"/>
      <c r="Y23" s="1234"/>
      <c r="Z23" s="82"/>
      <c r="AA23" s="2"/>
      <c r="AB23" s="2"/>
    </row>
    <row r="24" spans="1:28" ht="24.95" customHeight="1" thickBot="1" x14ac:dyDescent="0.3">
      <c r="A24" s="1144"/>
      <c r="B24" s="203">
        <v>1200</v>
      </c>
      <c r="C24" s="204">
        <v>600</v>
      </c>
      <c r="D24" s="209">
        <v>70</v>
      </c>
      <c r="E24" s="238" t="s">
        <v>339</v>
      </c>
      <c r="F24" s="263"/>
      <c r="G24" s="263"/>
      <c r="H24" s="264" t="s">
        <v>727</v>
      </c>
      <c r="I24" s="177">
        <f>IF(E24="C",ROUNDUP(10000/115/КровляDDP!O24,0)*КровляDDP!O24," ")</f>
        <v>90.316800000000001</v>
      </c>
      <c r="J24" s="97">
        <v>4</v>
      </c>
      <c r="K24" s="166">
        <v>2.8800000000000003</v>
      </c>
      <c r="L24" s="169">
        <v>0.2016</v>
      </c>
      <c r="M24" s="97">
        <v>32</v>
      </c>
      <c r="N24" s="166">
        <v>6.4512</v>
      </c>
      <c r="O24" s="166">
        <v>70.963200000000001</v>
      </c>
      <c r="P24" s="266"/>
      <c r="Q24" s="88">
        <f t="shared" si="2"/>
        <v>949.33439999999996</v>
      </c>
      <c r="R24" s="1165">
        <v>4709</v>
      </c>
      <c r="S24" s="101">
        <f t="shared" si="3"/>
        <v>329.63</v>
      </c>
      <c r="T24" s="745" t="s">
        <v>427</v>
      </c>
      <c r="V24" s="953">
        <f>IF($V$2&lt;4,SUMIFS(РегСкидка!$C$3:$C$619,РегСкидка!$D$3:$D$619,INDEX('Доставка по областям'!$G$2:$G$90,'КРОВЛЯ Рязань'!$Q$5),РегСкидка!$B$3:$B$619,T24,РегСкидка!$E$3:$E$619,$V$7)/100*IF(OR($V$3=1,$V$3=2,$V$3=3,$V$3=4),1,0),0)</f>
        <v>0</v>
      </c>
      <c r="W24" s="745"/>
      <c r="X24" s="4"/>
      <c r="Y24" s="1234"/>
      <c r="Z24" s="82"/>
      <c r="AA24" s="2"/>
      <c r="AB24" s="2"/>
    </row>
    <row r="25" spans="1:28" ht="24.95" customHeight="1" thickBot="1" x14ac:dyDescent="0.3">
      <c r="A25" s="1144"/>
      <c r="B25" s="203">
        <v>1200</v>
      </c>
      <c r="C25" s="204">
        <v>600</v>
      </c>
      <c r="D25" s="209">
        <v>80</v>
      </c>
      <c r="E25" s="238" t="s">
        <v>339</v>
      </c>
      <c r="F25" s="263">
        <v>100</v>
      </c>
      <c r="G25" s="263">
        <v>14.467592592592592</v>
      </c>
      <c r="H25" s="264" t="s">
        <v>728</v>
      </c>
      <c r="I25" s="177">
        <f>IF(E25="C",ROUNDUP(10000/115/КровляDDP!O25,0)*КровляDDP!O25," ")</f>
        <v>89.856000000000009</v>
      </c>
      <c r="J25" s="97">
        <v>3</v>
      </c>
      <c r="K25" s="166">
        <v>2.16</v>
      </c>
      <c r="L25" s="169">
        <v>0.17280000000000001</v>
      </c>
      <c r="M25" s="97">
        <v>40</v>
      </c>
      <c r="N25" s="166">
        <v>6.9120000000000008</v>
      </c>
      <c r="O25" s="166">
        <v>76.032000000000011</v>
      </c>
      <c r="P25" s="266"/>
      <c r="Q25" s="88">
        <f t="shared" si="2"/>
        <v>813.7152000000001</v>
      </c>
      <c r="R25" s="1165">
        <v>4709</v>
      </c>
      <c r="S25" s="101">
        <f t="shared" si="3"/>
        <v>376.72</v>
      </c>
      <c r="T25" s="745" t="s">
        <v>427</v>
      </c>
      <c r="V25" s="953">
        <f>IF($V$2&lt;4,SUMIFS(РегСкидка!$C$3:$C$619,РегСкидка!$D$3:$D$619,INDEX('Доставка по областям'!$G$2:$G$90,'КРОВЛЯ Рязань'!$Q$5),РегСкидка!$B$3:$B$619,T25,РегСкидка!$E$3:$E$619,$V$7)/100*IF(OR($V$3=1,$V$3=2,$V$3=3,$V$3=4),1,0),0)</f>
        <v>0</v>
      </c>
      <c r="W25" s="745"/>
      <c r="X25" s="4"/>
      <c r="Y25" s="1234"/>
      <c r="Z25" s="82"/>
      <c r="AA25" s="2"/>
      <c r="AB25" s="2"/>
    </row>
    <row r="26" spans="1:28" ht="24.95" customHeight="1" thickBot="1" x14ac:dyDescent="0.3">
      <c r="A26" s="1144"/>
      <c r="B26" s="203">
        <v>1200</v>
      </c>
      <c r="C26" s="204">
        <v>600</v>
      </c>
      <c r="D26" s="209">
        <v>90</v>
      </c>
      <c r="E26" s="238" t="s">
        <v>339</v>
      </c>
      <c r="F26" s="263">
        <v>100</v>
      </c>
      <c r="G26" s="263">
        <v>16.075102880658438</v>
      </c>
      <c r="H26" s="264"/>
      <c r="I26" s="177">
        <f>IF(E26="C",ROUNDUP(10000/115/КровляDDP!O26,0)*КровляDDP!O26," ")</f>
        <v>87.091200000000015</v>
      </c>
      <c r="J26" s="97">
        <v>3</v>
      </c>
      <c r="K26" s="166">
        <v>2.16</v>
      </c>
      <c r="L26" s="169">
        <v>0.19439999999999999</v>
      </c>
      <c r="M26" s="97">
        <v>32</v>
      </c>
      <c r="N26" s="166">
        <v>6.2207999999999997</v>
      </c>
      <c r="O26" s="166">
        <v>68.428799999999995</v>
      </c>
      <c r="P26" s="266"/>
      <c r="Q26" s="88">
        <f t="shared" si="2"/>
        <v>915.42959999999994</v>
      </c>
      <c r="R26" s="1165">
        <v>4709</v>
      </c>
      <c r="S26" s="101">
        <f t="shared" si="3"/>
        <v>423.81</v>
      </c>
      <c r="T26" s="745" t="s">
        <v>427</v>
      </c>
      <c r="V26" s="953">
        <f>IF($V$2&lt;4,SUMIFS(РегСкидка!$C$3:$C$619,РегСкидка!$D$3:$D$619,INDEX('Доставка по областям'!$G$2:$G$90,'КРОВЛЯ Рязань'!$Q$5),РегСкидка!$B$3:$B$619,T26,РегСкидка!$E$3:$E$619,$V$7)/100*IF(OR($V$3=1,$V$3=2,$V$3=3,$V$3=4),1,0),0)</f>
        <v>0</v>
      </c>
      <c r="W26" s="745"/>
      <c r="X26" s="4"/>
      <c r="Y26" s="1234"/>
      <c r="Z26" s="82"/>
      <c r="AA26" s="2"/>
      <c r="AB26" s="2"/>
    </row>
    <row r="27" spans="1:28" ht="24.95" customHeight="1" thickBot="1" x14ac:dyDescent="0.3">
      <c r="A27" s="1144"/>
      <c r="B27" s="203">
        <v>1200</v>
      </c>
      <c r="C27" s="204">
        <v>600</v>
      </c>
      <c r="D27" s="209">
        <v>100</v>
      </c>
      <c r="E27" s="238" t="s">
        <v>339</v>
      </c>
      <c r="F27" s="263"/>
      <c r="G27" s="263">
        <v>0</v>
      </c>
      <c r="H27" s="264" t="s">
        <v>729</v>
      </c>
      <c r="I27" s="177">
        <f>IF(E27="C",ROUNDUP(10000/115/КровляDDP!O27,0)*КровляDDP!O27," ")</f>
        <v>89.855999999999995</v>
      </c>
      <c r="J27" s="97">
        <v>3</v>
      </c>
      <c r="K27" s="166">
        <v>2.16</v>
      </c>
      <c r="L27" s="169">
        <v>0.216</v>
      </c>
      <c r="M27" s="97">
        <v>32</v>
      </c>
      <c r="N27" s="166">
        <v>6.9119999999999999</v>
      </c>
      <c r="O27" s="166">
        <v>76.031999999999996</v>
      </c>
      <c r="P27" s="266"/>
      <c r="Q27" s="88">
        <f t="shared" si="2"/>
        <v>1017.144</v>
      </c>
      <c r="R27" s="1165">
        <v>4709</v>
      </c>
      <c r="S27" s="101">
        <f t="shared" si="3"/>
        <v>470.9</v>
      </c>
      <c r="T27" s="745" t="s">
        <v>427</v>
      </c>
      <c r="V27" s="953">
        <f>IF($V$2&lt;4,SUMIFS(РегСкидка!$C$3:$C$619,РегСкидка!$D$3:$D$619,INDEX('Доставка по областям'!$G$2:$G$90,'КРОВЛЯ Рязань'!$Q$5),РегСкидка!$B$3:$B$619,T27,РегСкидка!$E$3:$E$619,$V$7)/100*IF(OR($V$3=1,$V$3=2,$V$3=3,$V$3=4),1,0),0)</f>
        <v>0</v>
      </c>
      <c r="W27" s="745"/>
      <c r="X27" s="4"/>
      <c r="Y27" s="1234"/>
      <c r="Z27" s="82"/>
      <c r="AA27" s="2"/>
      <c r="AB27" s="2"/>
    </row>
    <row r="28" spans="1:28" ht="24.95" customHeight="1" thickBot="1" x14ac:dyDescent="0.3">
      <c r="A28" s="1144"/>
      <c r="B28" s="203">
        <v>1200</v>
      </c>
      <c r="C28" s="204">
        <v>600</v>
      </c>
      <c r="D28" s="209">
        <v>110</v>
      </c>
      <c r="E28" s="238" t="s">
        <v>339</v>
      </c>
      <c r="F28" s="263">
        <v>100</v>
      </c>
      <c r="G28" s="263">
        <v>15.031265031265031</v>
      </c>
      <c r="H28" s="264"/>
      <c r="I28" s="177">
        <f>IF(E28="C",ROUNDUP(10000/115/КровляDDP!O28,0)*КровляDDP!O28," ")</f>
        <v>93.139200000000017</v>
      </c>
      <c r="J28" s="97">
        <v>3</v>
      </c>
      <c r="K28" s="166">
        <v>2.16</v>
      </c>
      <c r="L28" s="169">
        <v>0.23760000000000001</v>
      </c>
      <c r="M28" s="97">
        <v>28</v>
      </c>
      <c r="N28" s="166">
        <v>6.6528</v>
      </c>
      <c r="O28" s="166">
        <v>73.180800000000005</v>
      </c>
      <c r="P28" s="266"/>
      <c r="Q28" s="88">
        <f t="shared" si="2"/>
        <v>1118.8584000000001</v>
      </c>
      <c r="R28" s="1165">
        <v>4709</v>
      </c>
      <c r="S28" s="101">
        <f t="shared" si="3"/>
        <v>517.99</v>
      </c>
      <c r="T28" s="745" t="s">
        <v>427</v>
      </c>
      <c r="V28" s="953">
        <f>IF($V$2&lt;4,SUMIFS(РегСкидка!$C$3:$C$619,РегСкидка!$D$3:$D$619,INDEX('Доставка по областям'!$G$2:$G$90,'КРОВЛЯ Рязань'!$Q$5),РегСкидка!$B$3:$B$619,T28,РегСкидка!$E$3:$E$619,$V$7)/100*IF(OR($V$3=1,$V$3=2,$V$3=3,$V$3=4),1,0),0)</f>
        <v>0</v>
      </c>
      <c r="W28" s="745"/>
      <c r="X28" s="4"/>
      <c r="Y28" s="1234"/>
      <c r="Z28" s="82"/>
      <c r="AA28" s="2"/>
      <c r="AB28" s="2"/>
    </row>
    <row r="29" spans="1:28" ht="24.95" customHeight="1" thickBot="1" x14ac:dyDescent="0.3">
      <c r="A29" s="1144"/>
      <c r="B29" s="203">
        <v>1200</v>
      </c>
      <c r="C29" s="204">
        <v>600</v>
      </c>
      <c r="D29" s="209">
        <v>120</v>
      </c>
      <c r="E29" s="238" t="s">
        <v>339</v>
      </c>
      <c r="F29" s="263">
        <v>100</v>
      </c>
      <c r="G29" s="263">
        <v>14.467592592592592</v>
      </c>
      <c r="H29" s="264" t="s">
        <v>732</v>
      </c>
      <c r="I29" s="177">
        <f>IF(E29="C",ROUNDUP(10000/115/КровляDDP!O29,0)*КровляDDP!O29," ")</f>
        <v>89.855999999999995</v>
      </c>
      <c r="J29" s="97">
        <v>2</v>
      </c>
      <c r="K29" s="166">
        <v>1.4400000000000002</v>
      </c>
      <c r="L29" s="169">
        <v>0.17280000000000001</v>
      </c>
      <c r="M29" s="97">
        <v>40</v>
      </c>
      <c r="N29" s="166">
        <v>6.9120000000000008</v>
      </c>
      <c r="O29" s="166">
        <v>76.032000000000011</v>
      </c>
      <c r="P29" s="266"/>
      <c r="Q29" s="88">
        <f t="shared" si="2"/>
        <v>813.7152000000001</v>
      </c>
      <c r="R29" s="1165">
        <v>4709</v>
      </c>
      <c r="S29" s="101">
        <f t="shared" si="3"/>
        <v>565.08000000000004</v>
      </c>
      <c r="T29" s="745" t="s">
        <v>427</v>
      </c>
      <c r="V29" s="953">
        <f>IF($V$2&lt;4,SUMIFS(РегСкидка!$C$3:$C$619,РегСкидка!$D$3:$D$619,INDEX('Доставка по областям'!$G$2:$G$90,'КРОВЛЯ Рязань'!$Q$5),РегСкидка!$B$3:$B$619,T29,РегСкидка!$E$3:$E$619,$V$7)/100*IF(OR($V$3=1,$V$3=2,$V$3=3,$V$3=4),1,0),0)</f>
        <v>0</v>
      </c>
      <c r="W29" s="745"/>
      <c r="X29" s="4"/>
      <c r="Y29" s="1234"/>
      <c r="Z29" s="82"/>
      <c r="AA29" s="2"/>
      <c r="AB29" s="2"/>
    </row>
    <row r="30" spans="1:28" ht="24.95" customHeight="1" thickBot="1" x14ac:dyDescent="0.3">
      <c r="A30" s="1144"/>
      <c r="B30" s="203">
        <v>1200</v>
      </c>
      <c r="C30" s="204">
        <v>600</v>
      </c>
      <c r="D30" s="209">
        <v>130</v>
      </c>
      <c r="E30" s="238" t="s">
        <v>339</v>
      </c>
      <c r="F30" s="263">
        <v>100</v>
      </c>
      <c r="G30" s="263">
        <v>14.83855650522317</v>
      </c>
      <c r="H30" s="264"/>
      <c r="I30" s="177">
        <f>IF(E30="C",ROUNDUP(10000/115/КровляDDP!O30,0)*КровляDDP!O30," ")</f>
        <v>87.609599999999986</v>
      </c>
      <c r="J30" s="97">
        <v>2</v>
      </c>
      <c r="K30" s="166">
        <v>1.4400000000000002</v>
      </c>
      <c r="L30" s="169">
        <v>0.18720000000000001</v>
      </c>
      <c r="M30" s="97">
        <v>36</v>
      </c>
      <c r="N30" s="166">
        <v>6.7392000000000003</v>
      </c>
      <c r="O30" s="166">
        <v>74.131200000000007</v>
      </c>
      <c r="P30" s="266"/>
      <c r="Q30" s="88">
        <f t="shared" si="2"/>
        <v>881.52480000000003</v>
      </c>
      <c r="R30" s="1165">
        <v>4709</v>
      </c>
      <c r="S30" s="101">
        <f t="shared" si="3"/>
        <v>612.16999999999996</v>
      </c>
      <c r="T30" s="745" t="s">
        <v>427</v>
      </c>
      <c r="V30" s="953">
        <f>IF($V$2&lt;4,SUMIFS(РегСкидка!$C$3:$C$619,РегСкидка!$D$3:$D$619,INDEX('Доставка по областям'!$G$2:$G$90,'КРОВЛЯ Рязань'!$Q$5),РегСкидка!$B$3:$B$619,T30,РегСкидка!$E$3:$E$619,$V$7)/100*IF(OR($V$3=1,$V$3=2,$V$3=3,$V$3=4),1,0),0)</f>
        <v>0</v>
      </c>
      <c r="W30" s="745"/>
      <c r="X30" s="4"/>
      <c r="Y30" s="1234"/>
      <c r="Z30" s="82"/>
      <c r="AA30" s="2"/>
      <c r="AB30" s="2"/>
    </row>
    <row r="31" spans="1:28" ht="24.95" customHeight="1" thickBot="1" x14ac:dyDescent="0.3">
      <c r="A31" s="1144"/>
      <c r="B31" s="203">
        <v>1200</v>
      </c>
      <c r="C31" s="204">
        <v>600</v>
      </c>
      <c r="D31" s="209">
        <v>140</v>
      </c>
      <c r="E31" s="238" t="s">
        <v>339</v>
      </c>
      <c r="F31" s="263">
        <v>100</v>
      </c>
      <c r="G31" s="263">
        <v>15.500992063492063</v>
      </c>
      <c r="H31" s="264" t="s">
        <v>730</v>
      </c>
      <c r="I31" s="177">
        <f>IF(E31="C",ROUNDUP(10000/115/КровляDDP!O31,0)*КровляDDP!O31," ")</f>
        <v>90.316800000000001</v>
      </c>
      <c r="J31" s="97">
        <v>2</v>
      </c>
      <c r="K31" s="166">
        <v>1.4400000000000002</v>
      </c>
      <c r="L31" s="169">
        <v>0.2016</v>
      </c>
      <c r="M31" s="97">
        <v>32</v>
      </c>
      <c r="N31" s="166">
        <v>6.4512</v>
      </c>
      <c r="O31" s="166">
        <v>70.963200000000001</v>
      </c>
      <c r="P31" s="266"/>
      <c r="Q31" s="88">
        <f t="shared" si="2"/>
        <v>949.33439999999996</v>
      </c>
      <c r="R31" s="1165">
        <v>4709</v>
      </c>
      <c r="S31" s="101">
        <f t="shared" si="3"/>
        <v>659.26</v>
      </c>
      <c r="T31" s="745" t="s">
        <v>427</v>
      </c>
      <c r="V31" s="953">
        <f>IF($V$2&lt;4,SUMIFS(РегСкидка!$C$3:$C$619,РегСкидка!$D$3:$D$619,INDEX('Доставка по областям'!$G$2:$G$90,'КРОВЛЯ Рязань'!$Q$5),РегСкидка!$B$3:$B$619,T31,РегСкидка!$E$3:$E$619,$V$7)/100*IF(OR($V$3=1,$V$3=2,$V$3=3,$V$3=4),1,0),0)</f>
        <v>0</v>
      </c>
      <c r="W31" s="745"/>
      <c r="X31" s="4"/>
      <c r="Y31" s="1234"/>
      <c r="Z31" s="82"/>
      <c r="AA31" s="2"/>
      <c r="AB31" s="2"/>
    </row>
    <row r="32" spans="1:28" ht="24.95" customHeight="1" thickBot="1" x14ac:dyDescent="0.3">
      <c r="A32" s="1145"/>
      <c r="B32" s="240">
        <v>1200</v>
      </c>
      <c r="C32" s="241">
        <v>600</v>
      </c>
      <c r="D32" s="242">
        <v>150</v>
      </c>
      <c r="E32" s="238" t="s">
        <v>339</v>
      </c>
      <c r="F32" s="289">
        <v>100</v>
      </c>
      <c r="G32" s="289">
        <v>14.467592592592593</v>
      </c>
      <c r="H32" s="317" t="s">
        <v>731</v>
      </c>
      <c r="I32" s="445">
        <f>IF(E32="C",ROUNDUP(10000/115/КровляDDP!O32,0)*КровляDDP!O32," ")</f>
        <v>89.855999999999995</v>
      </c>
      <c r="J32" s="306">
        <v>2</v>
      </c>
      <c r="K32" s="167">
        <v>1.4400000000000002</v>
      </c>
      <c r="L32" s="307">
        <v>0.216</v>
      </c>
      <c r="M32" s="306">
        <v>32</v>
      </c>
      <c r="N32" s="167">
        <v>6.9119999999999999</v>
      </c>
      <c r="O32" s="167">
        <v>76.031999999999996</v>
      </c>
      <c r="P32" s="308"/>
      <c r="Q32" s="614">
        <f t="shared" si="2"/>
        <v>1017.144</v>
      </c>
      <c r="R32" s="39">
        <v>4709</v>
      </c>
      <c r="S32" s="615">
        <f t="shared" si="3"/>
        <v>706.35</v>
      </c>
      <c r="T32" s="745" t="s">
        <v>427</v>
      </c>
      <c r="V32" s="953">
        <f>IF($V$2&lt;4,SUMIFS(РегСкидка!$C$3:$C$619,РегСкидка!$D$3:$D$619,INDEX('Доставка по областям'!$G$2:$G$90,'КРОВЛЯ Рязань'!$Q$5),РегСкидка!$B$3:$B$619,T32,РегСкидка!$E$3:$E$619,$V$7)/100*IF(OR($V$3=1,$V$3=2,$V$3=3,$V$3=4),1,0),0)</f>
        <v>0</v>
      </c>
      <c r="W32" s="745"/>
      <c r="X32" s="4"/>
      <c r="Y32" s="1234"/>
      <c r="Z32" s="82"/>
      <c r="AA32" s="2"/>
      <c r="AB32" s="2"/>
    </row>
    <row r="33" spans="1:27" ht="22.5" customHeight="1" thickBot="1" x14ac:dyDescent="0.3">
      <c r="A33" s="1147" t="s">
        <v>14</v>
      </c>
      <c r="B33" s="249">
        <v>1200</v>
      </c>
      <c r="C33" s="287">
        <v>600</v>
      </c>
      <c r="D33" s="288">
        <v>50</v>
      </c>
      <c r="E33" s="664" t="s">
        <v>239</v>
      </c>
      <c r="F33" s="319"/>
      <c r="G33" s="319">
        <v>0</v>
      </c>
      <c r="H33" s="310" t="s">
        <v>702</v>
      </c>
      <c r="I33" s="594" t="str">
        <f>IF(E33="C",ROUNDUP(10000/140/КровляDDP!O33,0)*КровляDDP!O33," ")</f>
        <v xml:space="preserve"> </v>
      </c>
      <c r="J33" s="320">
        <v>4</v>
      </c>
      <c r="K33" s="312">
        <v>2.88</v>
      </c>
      <c r="L33" s="132">
        <v>0.14399999999999999</v>
      </c>
      <c r="M33" s="133">
        <v>48</v>
      </c>
      <c r="N33" s="168">
        <v>6.9119999999999999</v>
      </c>
      <c r="O33" s="168">
        <v>76.031999999999996</v>
      </c>
      <c r="P33" s="612"/>
      <c r="Q33" s="88">
        <f>L33*R33</f>
        <v>951.98399999999992</v>
      </c>
      <c r="R33" s="1165">
        <v>6611</v>
      </c>
      <c r="S33" s="101">
        <f>R33*D33/1000</f>
        <v>330.55</v>
      </c>
      <c r="T33" s="745" t="s">
        <v>427</v>
      </c>
      <c r="V33" s="953">
        <f>IF($V$2&lt;4,SUMIFS(РегСкидка!$C$3:$C$619,РегСкидка!$D$3:$D$619,INDEX('Доставка по областям'!$G$2:$G$90,'КРОВЛЯ Рязань'!$Q$5),РегСкидка!$B$3:$B$619,T33,РегСкидка!$E$3:$E$619,$V$7)/100*IF(OR($V$3=1,$V$3=2,$V$3=3,$V$3=4),1,0),0)</f>
        <v>0</v>
      </c>
      <c r="W33" s="745"/>
      <c r="X33" s="4"/>
      <c r="Y33" s="1234"/>
      <c r="AA33" s="2"/>
    </row>
    <row r="34" spans="1:27" ht="22.5" customHeight="1" thickBot="1" x14ac:dyDescent="0.3">
      <c r="A34" s="751" t="s">
        <v>32</v>
      </c>
      <c r="B34" s="203">
        <v>1200</v>
      </c>
      <c r="C34" s="204">
        <v>600</v>
      </c>
      <c r="D34" s="209">
        <v>60</v>
      </c>
      <c r="E34" s="238" t="s">
        <v>339</v>
      </c>
      <c r="F34" s="263">
        <v>71.428571428571431</v>
      </c>
      <c r="G34" s="263">
        <v>10.333994708994709</v>
      </c>
      <c r="H34" s="264" t="s">
        <v>192</v>
      </c>
      <c r="I34" s="592">
        <f>IF(E34="C",ROUNDUP(10000/140/КровляDDP!O34,0)*КровляDDP!O34," ")</f>
        <v>76.031999999999982</v>
      </c>
      <c r="J34" s="98">
        <v>4</v>
      </c>
      <c r="K34" s="166">
        <v>2.8800000000000003</v>
      </c>
      <c r="L34" s="126">
        <v>0.17280000000000001</v>
      </c>
      <c r="M34" s="127">
        <v>40</v>
      </c>
      <c r="N34" s="166">
        <v>6.9120000000000008</v>
      </c>
      <c r="O34" s="166">
        <v>76.032000000000011</v>
      </c>
      <c r="P34" s="266"/>
      <c r="Q34" s="88">
        <f t="shared" ref="Q34" si="4">L34*R34</f>
        <v>1142.3808000000001</v>
      </c>
      <c r="R34" s="1165">
        <v>6611</v>
      </c>
      <c r="S34" s="101">
        <f t="shared" ref="S34" si="5">R34*D34/1000</f>
        <v>396.66</v>
      </c>
      <c r="T34" s="745" t="s">
        <v>427</v>
      </c>
      <c r="V34" s="953">
        <f>IF($V$2&lt;4,SUMIFS(РегСкидка!$C$3:$C$619,РегСкидка!$D$3:$D$619,INDEX('Доставка по областям'!$G$2:$G$90,'КРОВЛЯ Рязань'!$Q$5),РегСкидка!$B$3:$B$619,T34,РегСкидка!$E$3:$E$619,$V$7)/100*IF(OR($V$3=1,$V$3=2,$V$3=3,$V$3=4),1,0),0)</f>
        <v>0</v>
      </c>
      <c r="W34" s="745"/>
      <c r="X34" s="4"/>
      <c r="Y34" s="1234"/>
      <c r="Z34" s="82"/>
      <c r="AA34" s="2"/>
    </row>
    <row r="35" spans="1:27" ht="22.5" customHeight="1" thickBot="1" x14ac:dyDescent="0.3">
      <c r="A35" s="751"/>
      <c r="B35" s="203">
        <v>1200</v>
      </c>
      <c r="C35" s="204">
        <v>600</v>
      </c>
      <c r="D35" s="209">
        <v>70</v>
      </c>
      <c r="E35" s="238" t="s">
        <v>339</v>
      </c>
      <c r="F35" s="263">
        <v>71.428571428571431</v>
      </c>
      <c r="G35" s="263">
        <v>10.736617879475023</v>
      </c>
      <c r="H35" s="264" t="s">
        <v>193</v>
      </c>
      <c r="I35" s="592">
        <f>IF(E35="C",ROUNDUP(10000/140/КровляDDP!O35,0)*КровляDDP!O35," ")</f>
        <v>73.180800000000005</v>
      </c>
      <c r="J35" s="97">
        <v>3</v>
      </c>
      <c r="K35" s="168">
        <v>2.16</v>
      </c>
      <c r="L35" s="126">
        <v>0.1512</v>
      </c>
      <c r="M35" s="127">
        <v>44</v>
      </c>
      <c r="N35" s="166">
        <v>6.6528</v>
      </c>
      <c r="O35" s="166">
        <v>73.180800000000005</v>
      </c>
      <c r="P35" s="266"/>
      <c r="Q35" s="88">
        <f t="shared" si="0"/>
        <v>999.58320000000003</v>
      </c>
      <c r="R35" s="1165">
        <v>6611</v>
      </c>
      <c r="S35" s="101">
        <f t="shared" si="1"/>
        <v>462.77</v>
      </c>
      <c r="T35" s="745" t="s">
        <v>427</v>
      </c>
      <c r="V35" s="953">
        <f>IF($V$2&lt;4,SUMIFS(РегСкидка!$C$3:$C$619,РегСкидка!$D$3:$D$619,INDEX('Доставка по областям'!$G$2:$G$90,'КРОВЛЯ Рязань'!$Q$5),РегСкидка!$B$3:$B$619,T35,РегСкидка!$E$3:$E$619,$V$7)/100*IF(OR($V$3=1,$V$3=2,$V$3=3,$V$3=4),1,0),0)</f>
        <v>0</v>
      </c>
      <c r="W35" s="745"/>
      <c r="X35" s="4"/>
      <c r="Y35" s="1234"/>
      <c r="Z35" s="82"/>
      <c r="AA35" s="2"/>
    </row>
    <row r="36" spans="1:27" ht="22.5" customHeight="1" thickBot="1" x14ac:dyDescent="0.3">
      <c r="A36" s="751"/>
      <c r="B36" s="203">
        <v>1200</v>
      </c>
      <c r="C36" s="204">
        <v>600</v>
      </c>
      <c r="D36" s="209">
        <v>80</v>
      </c>
      <c r="E36" s="238" t="s">
        <v>339</v>
      </c>
      <c r="F36" s="263">
        <v>71.428571428571431</v>
      </c>
      <c r="G36" s="263">
        <v>10.333994708994709</v>
      </c>
      <c r="H36" s="264" t="s">
        <v>194</v>
      </c>
      <c r="I36" s="592">
        <f>IF(E36="C",ROUNDUP(10000/140/КровляDDP!O36,0)*КровляDDP!O36," ")</f>
        <v>76.032000000000011</v>
      </c>
      <c r="J36" s="97">
        <v>3</v>
      </c>
      <c r="K36" s="166">
        <v>2.16</v>
      </c>
      <c r="L36" s="126">
        <v>0.17280000000000001</v>
      </c>
      <c r="M36" s="222">
        <v>40</v>
      </c>
      <c r="N36" s="166">
        <v>6.9120000000000008</v>
      </c>
      <c r="O36" s="166">
        <v>76.032000000000011</v>
      </c>
      <c r="P36" s="266"/>
      <c r="Q36" s="88">
        <f t="shared" si="0"/>
        <v>1142.3808000000001</v>
      </c>
      <c r="R36" s="1165">
        <v>6611</v>
      </c>
      <c r="S36" s="101">
        <f t="shared" si="1"/>
        <v>528.88</v>
      </c>
      <c r="T36" s="745" t="s">
        <v>427</v>
      </c>
      <c r="V36" s="953">
        <f>IF($V$2&lt;4,SUMIFS(РегСкидка!$C$3:$C$619,РегСкидка!$D$3:$D$619,INDEX('Доставка по областям'!$G$2:$G$90,'КРОВЛЯ Рязань'!$Q$5),РегСкидка!$B$3:$B$619,T36,РегСкидка!$E$3:$E$619,$V$7)/100*IF(OR($V$3=1,$V$3=2,$V$3=3,$V$3=4),1,0),0)</f>
        <v>0</v>
      </c>
      <c r="W36" s="745"/>
      <c r="X36" s="4"/>
      <c r="Y36" s="1234"/>
      <c r="Z36" s="82"/>
      <c r="AA36" s="2"/>
    </row>
    <row r="37" spans="1:27" ht="22.5" customHeight="1" thickBot="1" x14ac:dyDescent="0.3">
      <c r="A37" s="751"/>
      <c r="B37" s="203">
        <v>1200</v>
      </c>
      <c r="C37" s="204">
        <v>600</v>
      </c>
      <c r="D37" s="209">
        <v>90</v>
      </c>
      <c r="E37" s="238" t="s">
        <v>339</v>
      </c>
      <c r="F37" s="263">
        <v>71.428571428571431</v>
      </c>
      <c r="G37" s="263">
        <v>11.482216343327455</v>
      </c>
      <c r="H37" s="264" t="s">
        <v>703</v>
      </c>
      <c r="I37" s="592">
        <f>IF(E37="C",ROUNDUP(10000/140/КровляDDP!O37,0)*КровляDDP!O37," ")</f>
        <v>74.131199999999993</v>
      </c>
      <c r="J37" s="97">
        <v>2</v>
      </c>
      <c r="K37" s="166">
        <v>1.44</v>
      </c>
      <c r="L37" s="126">
        <v>0.12959999999999999</v>
      </c>
      <c r="M37" s="127">
        <v>52</v>
      </c>
      <c r="N37" s="227">
        <v>6.7392000000000003</v>
      </c>
      <c r="O37" s="166">
        <v>74.131200000000007</v>
      </c>
      <c r="P37" s="266"/>
      <c r="Q37" s="88">
        <f t="shared" si="0"/>
        <v>856.78559999999993</v>
      </c>
      <c r="R37" s="1165">
        <v>6611</v>
      </c>
      <c r="S37" s="101">
        <f t="shared" si="1"/>
        <v>594.99</v>
      </c>
      <c r="T37" s="745" t="s">
        <v>427</v>
      </c>
      <c r="V37" s="953">
        <f>IF($V$2&lt;4,SUMIFS(РегСкидка!$C$3:$C$619,РегСкидка!$D$3:$D$619,INDEX('Доставка по областям'!$G$2:$G$90,'КРОВЛЯ Рязань'!$Q$5),РегСкидка!$B$3:$B$619,T37,РегСкидка!$E$3:$E$619,$V$7)/100*IF(OR($V$3=1,$V$3=2,$V$3=3,$V$3=4),1,0),0)</f>
        <v>0</v>
      </c>
      <c r="W37" s="745"/>
      <c r="X37" s="4"/>
      <c r="Y37" s="1234"/>
      <c r="Z37" s="82"/>
      <c r="AA37" s="2"/>
    </row>
    <row r="38" spans="1:27" ht="22.5" customHeight="1" thickBot="1" x14ac:dyDescent="0.3">
      <c r="A38" s="751"/>
      <c r="B38" s="203">
        <v>1200</v>
      </c>
      <c r="C38" s="204">
        <v>600</v>
      </c>
      <c r="D38" s="209">
        <v>100</v>
      </c>
      <c r="E38" s="238" t="s">
        <v>239</v>
      </c>
      <c r="F38" s="263"/>
      <c r="G38" s="263"/>
      <c r="H38" s="264" t="s">
        <v>195</v>
      </c>
      <c r="I38" s="592" t="str">
        <f>IF(E38="C",ROUNDUP(10000/140/КровляDDP!O38,0)*КровляDDP!O38," ")</f>
        <v xml:space="preserve"> </v>
      </c>
      <c r="J38" s="97">
        <v>3</v>
      </c>
      <c r="K38" s="166">
        <v>2.16</v>
      </c>
      <c r="L38" s="126">
        <v>0.216</v>
      </c>
      <c r="M38" s="133">
        <v>32</v>
      </c>
      <c r="N38" s="166">
        <v>6.9119999999999999</v>
      </c>
      <c r="O38" s="166">
        <v>76.031999999999996</v>
      </c>
      <c r="P38" s="266"/>
      <c r="Q38" s="88">
        <f t="shared" si="0"/>
        <v>1427.9759999999999</v>
      </c>
      <c r="R38" s="1165">
        <v>6611</v>
      </c>
      <c r="S38" s="101">
        <f t="shared" si="1"/>
        <v>661.1</v>
      </c>
      <c r="T38" s="745" t="s">
        <v>427</v>
      </c>
      <c r="V38" s="953">
        <f>IF($V$2&lt;4,SUMIFS(РегСкидка!$C$3:$C$619,РегСкидка!$D$3:$D$619,INDEX('Доставка по областям'!$G$2:$G$90,'КРОВЛЯ Рязань'!$Q$5),РегСкидка!$B$3:$B$619,T38,РегСкидка!$E$3:$E$619,$V$7)/100*IF(OR($V$3=1,$V$3=2,$V$3=3,$V$3=4),1,0),0)</f>
        <v>0</v>
      </c>
      <c r="W38" s="745"/>
      <c r="X38" s="4"/>
      <c r="Y38" s="1234"/>
      <c r="AA38" s="2"/>
    </row>
    <row r="39" spans="1:27" ht="22.5" customHeight="1" thickBot="1" x14ac:dyDescent="0.3">
      <c r="A39" s="751"/>
      <c r="B39" s="203">
        <v>1200</v>
      </c>
      <c r="C39" s="204">
        <v>600</v>
      </c>
      <c r="D39" s="209">
        <v>110</v>
      </c>
      <c r="E39" s="238" t="s">
        <v>339</v>
      </c>
      <c r="F39" s="263">
        <v>71.428571428571431</v>
      </c>
      <c r="G39" s="263">
        <v>11.273448773448774</v>
      </c>
      <c r="H39" s="264" t="s">
        <v>196</v>
      </c>
      <c r="I39" s="592">
        <f>IF(E39="C",ROUNDUP(10000/140/КровляDDP!O39,0)*КровляDDP!O39," ")</f>
        <v>76.032000000000011</v>
      </c>
      <c r="J39" s="97">
        <v>2</v>
      </c>
      <c r="K39" s="166">
        <v>1.4400000000000002</v>
      </c>
      <c r="L39" s="126">
        <v>0.15840000000000001</v>
      </c>
      <c r="M39" s="127">
        <v>40</v>
      </c>
      <c r="N39" s="166">
        <v>6.3360000000000003</v>
      </c>
      <c r="O39" s="166">
        <v>69.695999999999998</v>
      </c>
      <c r="P39" s="266"/>
      <c r="Q39" s="88">
        <f t="shared" si="0"/>
        <v>1047.1824000000001</v>
      </c>
      <c r="R39" s="1165">
        <v>6611</v>
      </c>
      <c r="S39" s="101">
        <f t="shared" si="1"/>
        <v>727.21</v>
      </c>
      <c r="T39" s="745" t="s">
        <v>427</v>
      </c>
      <c r="V39" s="953">
        <f>IF($V$2&lt;4,SUMIFS(РегСкидка!$C$3:$C$619,РегСкидка!$D$3:$D$619,INDEX('Доставка по областям'!$G$2:$G$90,'КРОВЛЯ Рязань'!$Q$5),РегСкидка!$B$3:$B$619,T39,РегСкидка!$E$3:$E$619,$V$7)/100*IF(OR($V$3=1,$V$3=2,$V$3=3,$V$3=4),1,0),0)</f>
        <v>0</v>
      </c>
      <c r="W39" s="745"/>
      <c r="X39" s="4"/>
      <c r="Y39" s="1234"/>
      <c r="Z39" s="82"/>
      <c r="AA39" s="2"/>
    </row>
    <row r="40" spans="1:27" ht="22.5" customHeight="1" thickBot="1" x14ac:dyDescent="0.3">
      <c r="A40" s="751"/>
      <c r="B40" s="203">
        <v>1200</v>
      </c>
      <c r="C40" s="204">
        <v>600</v>
      </c>
      <c r="D40" s="209">
        <v>120</v>
      </c>
      <c r="E40" s="238" t="s">
        <v>339</v>
      </c>
      <c r="F40" s="263">
        <v>71.428571428571431</v>
      </c>
      <c r="G40" s="263">
        <v>10.333994708994709</v>
      </c>
      <c r="H40" s="264" t="s">
        <v>197</v>
      </c>
      <c r="I40" s="592">
        <f>IF(E40="C",ROUNDUP(10000/140/КровляDDP!O40,0)*КровляDDP!O40," ")</f>
        <v>76.031999999999982</v>
      </c>
      <c r="J40" s="97">
        <v>2</v>
      </c>
      <c r="K40" s="166">
        <v>1.4400000000000002</v>
      </c>
      <c r="L40" s="126">
        <v>0.17280000000000001</v>
      </c>
      <c r="M40" s="127">
        <v>40</v>
      </c>
      <c r="N40" s="166">
        <v>6.9120000000000008</v>
      </c>
      <c r="O40" s="166">
        <v>76.032000000000011</v>
      </c>
      <c r="P40" s="266"/>
      <c r="Q40" s="88">
        <f t="shared" si="0"/>
        <v>1142.3808000000001</v>
      </c>
      <c r="R40" s="1165">
        <v>6611</v>
      </c>
      <c r="S40" s="101">
        <f t="shared" si="1"/>
        <v>793.32</v>
      </c>
      <c r="T40" s="745" t="s">
        <v>427</v>
      </c>
      <c r="V40" s="953">
        <f>IF($V$2&lt;4,SUMIFS(РегСкидка!$C$3:$C$619,РегСкидка!$D$3:$D$619,INDEX('Доставка по областям'!$G$2:$G$90,'КРОВЛЯ Рязань'!$Q$5),РегСкидка!$B$3:$B$619,T40,РегСкидка!$E$3:$E$619,$V$7)/100*IF(OR($V$3=1,$V$3=2,$V$3=3,$V$3=4),1,0),0)</f>
        <v>0</v>
      </c>
      <c r="W40" s="745"/>
      <c r="X40" s="4"/>
      <c r="Y40" s="1234"/>
      <c r="Z40" s="82"/>
      <c r="AA40" s="2"/>
    </row>
    <row r="41" spans="1:27" ht="22.5" customHeight="1" thickBot="1" x14ac:dyDescent="0.3">
      <c r="A41" s="751"/>
      <c r="B41" s="203">
        <v>1200</v>
      </c>
      <c r="C41" s="204">
        <v>600</v>
      </c>
      <c r="D41" s="209">
        <v>130</v>
      </c>
      <c r="E41" s="238" t="s">
        <v>339</v>
      </c>
      <c r="F41" s="263">
        <v>71.428571428571431</v>
      </c>
      <c r="G41" s="263">
        <v>10.598968932302265</v>
      </c>
      <c r="H41" s="264" t="s">
        <v>263</v>
      </c>
      <c r="I41" s="592">
        <f>IF(E41="C",ROUNDUP(10000/140/КровляDDP!O41,0)*КровляDDP!O41," ")</f>
        <v>74.131199999999993</v>
      </c>
      <c r="J41" s="97">
        <v>2</v>
      </c>
      <c r="K41" s="166">
        <v>1.4400000000000002</v>
      </c>
      <c r="L41" s="126">
        <v>0.18720000000000001</v>
      </c>
      <c r="M41" s="127">
        <v>36</v>
      </c>
      <c r="N41" s="166">
        <v>6.7392000000000003</v>
      </c>
      <c r="O41" s="166">
        <v>74.131200000000007</v>
      </c>
      <c r="P41" s="266"/>
      <c r="Q41" s="88">
        <f t="shared" si="0"/>
        <v>1237.5792000000001</v>
      </c>
      <c r="R41" s="1165">
        <v>6611</v>
      </c>
      <c r="S41" s="101">
        <f t="shared" si="1"/>
        <v>859.43</v>
      </c>
      <c r="T41" s="745" t="s">
        <v>427</v>
      </c>
      <c r="V41" s="953">
        <f>IF($V$2&lt;4,SUMIFS(РегСкидка!$C$3:$C$619,РегСкидка!$D$3:$D$619,INDEX('Доставка по областям'!$G$2:$G$90,'КРОВЛЯ Рязань'!$Q$5),РегСкидка!$B$3:$B$619,T41,РегСкидка!$E$3:$E$619,$V$7)/100*IF(OR($V$3=1,$V$3=2,$V$3=3,$V$3=4),1,0),0)</f>
        <v>0</v>
      </c>
      <c r="W41" s="745"/>
      <c r="X41" s="4"/>
      <c r="Y41" s="1234"/>
      <c r="Z41" s="82"/>
      <c r="AA41" s="2"/>
    </row>
    <row r="42" spans="1:27" ht="22.5" customHeight="1" thickBot="1" x14ac:dyDescent="0.3">
      <c r="A42" s="751"/>
      <c r="B42" s="203">
        <v>1200</v>
      </c>
      <c r="C42" s="204">
        <v>600</v>
      </c>
      <c r="D42" s="209">
        <v>140</v>
      </c>
      <c r="E42" s="238" t="s">
        <v>339</v>
      </c>
      <c r="F42" s="263">
        <v>71.428571428571431</v>
      </c>
      <c r="G42" s="263">
        <v>11.072137188208616</v>
      </c>
      <c r="H42" s="264" t="s">
        <v>264</v>
      </c>
      <c r="I42" s="592">
        <f>IF(E42="C",ROUNDUP(10000/140/КровляDDP!O42,0)*КровляDDP!O42," ")</f>
        <v>77.414400000000001</v>
      </c>
      <c r="J42" s="97">
        <v>2</v>
      </c>
      <c r="K42" s="166">
        <v>1.4400000000000002</v>
      </c>
      <c r="L42" s="126">
        <v>0.2016</v>
      </c>
      <c r="M42" s="127">
        <v>32</v>
      </c>
      <c r="N42" s="166">
        <v>6.4512</v>
      </c>
      <c r="O42" s="166">
        <v>70.963200000000001</v>
      </c>
      <c r="P42" s="266"/>
      <c r="Q42" s="88">
        <f t="shared" si="0"/>
        <v>1332.7776000000001</v>
      </c>
      <c r="R42" s="1165">
        <v>6611</v>
      </c>
      <c r="S42" s="101">
        <f t="shared" si="1"/>
        <v>925.54</v>
      </c>
      <c r="T42" s="745" t="s">
        <v>427</v>
      </c>
      <c r="V42" s="953">
        <f>IF($V$2&lt;4,SUMIFS(РегСкидка!$C$3:$C$619,РегСкидка!$D$3:$D$619,INDEX('Доставка по областям'!$G$2:$G$90,'КРОВЛЯ Рязань'!$Q$5),РегСкидка!$B$3:$B$619,T42,РегСкидка!$E$3:$E$619,$V$7)/100*IF(OR($V$3=1,$V$3=2,$V$3=3,$V$3=4),1,0),0)</f>
        <v>0</v>
      </c>
      <c r="W42" s="745"/>
      <c r="X42" s="4"/>
      <c r="Y42" s="1234"/>
      <c r="Z42" s="82"/>
      <c r="AA42" s="2"/>
    </row>
    <row r="43" spans="1:27" ht="22.5" customHeight="1" thickBot="1" x14ac:dyDescent="0.3">
      <c r="A43" s="751"/>
      <c r="B43" s="203">
        <v>1200</v>
      </c>
      <c r="C43" s="204">
        <v>600</v>
      </c>
      <c r="D43" s="209">
        <v>150</v>
      </c>
      <c r="E43" s="238" t="s">
        <v>339</v>
      </c>
      <c r="F43" s="263">
        <v>71.428571428571431</v>
      </c>
      <c r="G43" s="263">
        <v>10.333994708994709</v>
      </c>
      <c r="H43" s="264" t="s">
        <v>198</v>
      </c>
      <c r="I43" s="592">
        <f>IF(E43="C",ROUNDUP(10000/140/КровляDDP!O43,0)*КровляDDP!O43," ")</f>
        <v>76.031999999999996</v>
      </c>
      <c r="J43" s="97">
        <v>2</v>
      </c>
      <c r="K43" s="166">
        <v>1.4400000000000002</v>
      </c>
      <c r="L43" s="126">
        <v>0.216</v>
      </c>
      <c r="M43" s="127">
        <v>32</v>
      </c>
      <c r="N43" s="166">
        <v>6.9119999999999999</v>
      </c>
      <c r="O43" s="166">
        <v>76.031999999999996</v>
      </c>
      <c r="P43" s="266"/>
      <c r="Q43" s="88">
        <f t="shared" si="0"/>
        <v>1427.9759999999999</v>
      </c>
      <c r="R43" s="1165">
        <v>6611</v>
      </c>
      <c r="S43" s="101">
        <f t="shared" si="1"/>
        <v>991.65</v>
      </c>
      <c r="T43" s="745" t="s">
        <v>427</v>
      </c>
      <c r="V43" s="953">
        <f>IF($V$2&lt;4,SUMIFS(РегСкидка!$C$3:$C$619,РегСкидка!$D$3:$D$619,INDEX('Доставка по областям'!$G$2:$G$90,'КРОВЛЯ Рязань'!$Q$5),РегСкидка!$B$3:$B$619,T43,РегСкидка!$E$3:$E$619,$V$7)/100*IF(OR($V$3=1,$V$3=2,$V$3=3,$V$3=4),1,0),0)</f>
        <v>0</v>
      </c>
      <c r="W43" s="745"/>
      <c r="X43" s="4"/>
      <c r="Y43" s="1234"/>
      <c r="Z43" s="82"/>
      <c r="AA43" s="2"/>
    </row>
    <row r="44" spans="1:27" ht="22.5" customHeight="1" thickBot="1" x14ac:dyDescent="0.3">
      <c r="A44" s="751"/>
      <c r="B44" s="203">
        <v>1200</v>
      </c>
      <c r="C44" s="204">
        <v>600</v>
      </c>
      <c r="D44" s="209">
        <v>160</v>
      </c>
      <c r="E44" s="238" t="s">
        <v>339</v>
      </c>
      <c r="F44" s="263">
        <v>71.428571428571431</v>
      </c>
      <c r="G44" s="263">
        <v>11.072137188208616</v>
      </c>
      <c r="H44" s="264" t="s">
        <v>265</v>
      </c>
      <c r="I44" s="592">
        <f>IF(E44="C",ROUNDUP(10000/140/КровляDDP!O44,0)*КровляDDP!O44," ")</f>
        <v>77.414399999999986</v>
      </c>
      <c r="J44" s="97">
        <v>2</v>
      </c>
      <c r="K44" s="166">
        <v>1.44</v>
      </c>
      <c r="L44" s="126">
        <v>0.23039999999999999</v>
      </c>
      <c r="M44" s="127">
        <v>28</v>
      </c>
      <c r="N44" s="166">
        <v>6.4512</v>
      </c>
      <c r="O44" s="166">
        <v>70.963200000000001</v>
      </c>
      <c r="P44" s="266"/>
      <c r="Q44" s="88">
        <f t="shared" si="0"/>
        <v>1523.1743999999999</v>
      </c>
      <c r="R44" s="1165">
        <v>6611</v>
      </c>
      <c r="S44" s="101">
        <f t="shared" si="1"/>
        <v>1057.76</v>
      </c>
      <c r="T44" s="745" t="s">
        <v>427</v>
      </c>
      <c r="V44" s="953">
        <f>IF($V$2&lt;4,SUMIFS(РегСкидка!$C$3:$C$619,РегСкидка!$D$3:$D$619,INDEX('Доставка по областям'!$G$2:$G$90,'КРОВЛЯ Рязань'!$Q$5),РегСкидка!$B$3:$B$619,T44,РегСкидка!$E$3:$E$619,$V$7)/100*IF(OR($V$3=1,$V$3=2,$V$3=3,$V$3=4),1,0),0)</f>
        <v>0</v>
      </c>
      <c r="W44" s="745"/>
      <c r="X44" s="4"/>
      <c r="Y44" s="1234"/>
      <c r="Z44" s="82"/>
      <c r="AA44" s="2"/>
    </row>
    <row r="45" spans="1:27" ht="22.5" customHeight="1" thickBot="1" x14ac:dyDescent="0.3">
      <c r="A45" s="751"/>
      <c r="B45" s="203">
        <v>1200</v>
      </c>
      <c r="C45" s="204">
        <v>600</v>
      </c>
      <c r="D45" s="209">
        <v>170</v>
      </c>
      <c r="E45" s="238" t="s">
        <v>339</v>
      </c>
      <c r="F45" s="263">
        <v>71.428571428571431</v>
      </c>
      <c r="G45" s="263">
        <v>10.420835000666933</v>
      </c>
      <c r="H45" s="264" t="s">
        <v>266</v>
      </c>
      <c r="I45" s="592">
        <f>IF(E45="C",ROUNDUP(10000/140/КровляDDP!O45,0)*КровляDDP!O45," ")</f>
        <v>75.398399999999995</v>
      </c>
      <c r="J45" s="97">
        <v>2</v>
      </c>
      <c r="K45" s="166">
        <v>1.44</v>
      </c>
      <c r="L45" s="126">
        <v>0.24479999999999999</v>
      </c>
      <c r="M45" s="127">
        <v>28</v>
      </c>
      <c r="N45" s="166">
        <v>6.8544</v>
      </c>
      <c r="O45" s="166">
        <v>75.398399999999995</v>
      </c>
      <c r="P45" s="266"/>
      <c r="Q45" s="88">
        <f t="shared" si="0"/>
        <v>1618.3727999999999</v>
      </c>
      <c r="R45" s="1165">
        <v>6611</v>
      </c>
      <c r="S45" s="101">
        <f t="shared" si="1"/>
        <v>1123.8699999999999</v>
      </c>
      <c r="T45" s="745" t="s">
        <v>427</v>
      </c>
      <c r="V45" s="953">
        <f>IF($V$2&lt;4,SUMIFS(РегСкидка!$C$3:$C$619,РегСкидка!$D$3:$D$619,INDEX('Доставка по областям'!$G$2:$G$90,'КРОВЛЯ Рязань'!$Q$5),РегСкидка!$B$3:$B$619,T45,РегСкидка!$E$3:$E$619,$V$7)/100*IF(OR($V$3=1,$V$3=2,$V$3=3,$V$3=4),1,0),0)</f>
        <v>0</v>
      </c>
      <c r="W45" s="745"/>
      <c r="X45" s="4"/>
      <c r="Y45" s="1234"/>
      <c r="Z45" s="82"/>
      <c r="AA45" s="2"/>
    </row>
    <row r="46" spans="1:27" ht="22.5" customHeight="1" thickBot="1" x14ac:dyDescent="0.3">
      <c r="A46" s="751"/>
      <c r="B46" s="203">
        <v>1200</v>
      </c>
      <c r="C46" s="204">
        <v>600</v>
      </c>
      <c r="D46" s="209">
        <v>180</v>
      </c>
      <c r="E46" s="238" t="s">
        <v>339</v>
      </c>
      <c r="F46" s="263">
        <v>71.428571428571431</v>
      </c>
      <c r="G46" s="263">
        <v>11.482216343327455</v>
      </c>
      <c r="H46" s="264" t="s">
        <v>267</v>
      </c>
      <c r="I46" s="592">
        <f>IF(E46="C",ROUNDUP(10000/140/КровляDDP!O46,0)*КровляDDP!O46," ")</f>
        <v>74.649599999999992</v>
      </c>
      <c r="J46" s="97">
        <v>2</v>
      </c>
      <c r="K46" s="166">
        <v>1.44</v>
      </c>
      <c r="L46" s="126">
        <v>0.25919999999999999</v>
      </c>
      <c r="M46" s="127">
        <v>24</v>
      </c>
      <c r="N46" s="166">
        <v>6.2207999999999997</v>
      </c>
      <c r="O46" s="166">
        <v>68.428799999999995</v>
      </c>
      <c r="P46" s="266"/>
      <c r="Q46" s="88">
        <f t="shared" si="0"/>
        <v>1713.5711999999999</v>
      </c>
      <c r="R46" s="1165">
        <v>6611</v>
      </c>
      <c r="S46" s="101">
        <f t="shared" si="1"/>
        <v>1189.98</v>
      </c>
      <c r="T46" s="745" t="s">
        <v>427</v>
      </c>
      <c r="V46" s="953">
        <f>IF($V$2&lt;4,SUMIFS(РегСкидка!$C$3:$C$619,РегСкидка!$D$3:$D$619,INDEX('Доставка по областям'!$G$2:$G$90,'КРОВЛЯ Рязань'!$Q$5),РегСкидка!$B$3:$B$619,T46,РегСкидка!$E$3:$E$619,$V$7)/100*IF(OR($V$3=1,$V$3=2,$V$3=3,$V$3=4),1,0),0)</f>
        <v>0</v>
      </c>
      <c r="W46" s="745"/>
      <c r="X46" s="4"/>
      <c r="Y46" s="1234"/>
      <c r="Z46" s="82"/>
      <c r="AA46" s="2"/>
    </row>
    <row r="47" spans="1:27" ht="22.5" customHeight="1" thickBot="1" x14ac:dyDescent="0.3">
      <c r="A47" s="752"/>
      <c r="B47" s="268">
        <v>1200</v>
      </c>
      <c r="C47" s="269">
        <v>600</v>
      </c>
      <c r="D47" s="270">
        <v>190</v>
      </c>
      <c r="E47" s="238" t="s">
        <v>339</v>
      </c>
      <c r="F47" s="272">
        <v>71.428571428571431</v>
      </c>
      <c r="G47" s="272">
        <v>10.877889167362852</v>
      </c>
      <c r="H47" s="273" t="s">
        <v>268</v>
      </c>
      <c r="I47" s="593">
        <f>IF(E47="C",ROUNDUP(10000/140/КровляDDP!O47,0)*КровляDDP!O47," ")</f>
        <v>72.230399999999989</v>
      </c>
      <c r="J47" s="274">
        <v>2</v>
      </c>
      <c r="K47" s="275">
        <v>1.4400000000000002</v>
      </c>
      <c r="L47" s="255">
        <v>0.27360000000000001</v>
      </c>
      <c r="M47" s="222">
        <v>24</v>
      </c>
      <c r="N47" s="275">
        <v>6.5663999999999998</v>
      </c>
      <c r="O47" s="275">
        <v>72.230400000000003</v>
      </c>
      <c r="P47" s="266"/>
      <c r="Q47" s="479">
        <f t="shared" si="0"/>
        <v>1808.7696000000001</v>
      </c>
      <c r="R47" s="39">
        <v>6611</v>
      </c>
      <c r="S47" s="102">
        <f t="shared" si="1"/>
        <v>1256.0899999999999</v>
      </c>
      <c r="T47" s="745" t="s">
        <v>427</v>
      </c>
      <c r="V47" s="953">
        <f>IF($V$2&lt;4,SUMIFS(РегСкидка!$C$3:$C$619,РегСкидка!$D$3:$D$619,INDEX('Доставка по областям'!$G$2:$G$90,'КРОВЛЯ Рязань'!$Q$5),РегСкидка!$B$3:$B$619,T47,РегСкидка!$E$3:$E$619,$V$7)/100*IF(OR($V$3=1,$V$3=2,$V$3=3,$V$3=4),1,0),0)</f>
        <v>0</v>
      </c>
      <c r="W47" s="745"/>
      <c r="X47" s="4"/>
      <c r="Y47" s="1234"/>
      <c r="Z47" s="82"/>
      <c r="AA47" s="2"/>
    </row>
    <row r="48" spans="1:27" ht="22.5" customHeight="1" thickBot="1" x14ac:dyDescent="0.3">
      <c r="A48" s="35" t="s">
        <v>25</v>
      </c>
      <c r="B48" s="252">
        <v>1200</v>
      </c>
      <c r="C48" s="250">
        <v>600</v>
      </c>
      <c r="D48" s="251">
        <v>40</v>
      </c>
      <c r="E48" s="238" t="s">
        <v>239</v>
      </c>
      <c r="F48" s="277"/>
      <c r="G48" s="278"/>
      <c r="H48" s="279" t="s">
        <v>705</v>
      </c>
      <c r="I48" s="594" t="str">
        <f>IF(E48="C",ROUNDUP(10000/180/КровляDDP!O48,0)*КровляDDP!O48," ")</f>
        <v xml:space="preserve"> </v>
      </c>
      <c r="J48" s="281">
        <v>5</v>
      </c>
      <c r="K48" s="282">
        <v>3.6</v>
      </c>
      <c r="L48" s="283">
        <v>0.14399999999999999</v>
      </c>
      <c r="M48" s="284">
        <v>48</v>
      </c>
      <c r="N48" s="282">
        <v>6.9119999999999999</v>
      </c>
      <c r="O48" s="282">
        <v>76.031999999999996</v>
      </c>
      <c r="P48" s="285"/>
      <c r="Q48" s="88">
        <f>L48*R48</f>
        <v>1210.4639999999999</v>
      </c>
      <c r="R48" s="1165">
        <v>8406</v>
      </c>
      <c r="S48" s="101">
        <f>R48*D48/1000</f>
        <v>336.24</v>
      </c>
      <c r="T48" s="745" t="s">
        <v>427</v>
      </c>
      <c r="V48" s="953">
        <f>IF($V$2&lt;4,SUMIFS(РегСкидка!$C$3:$C$619,РегСкидка!$D$3:$D$619,INDEX('Доставка по областям'!$G$2:$G$90,'КРОВЛЯ Рязань'!$Q$5),РегСкидка!$B$3:$B$619,T48,РегСкидка!$E$3:$E$619,$V$7)/100*IF(OR($V$3=1,$V$3=2,$V$3=3,$V$3=4),1,0),0)</f>
        <v>0</v>
      </c>
      <c r="W48" s="745"/>
      <c r="X48" s="4"/>
      <c r="Y48" s="1234"/>
      <c r="Z48" s="82"/>
      <c r="AA48" s="2"/>
    </row>
    <row r="49" spans="1:28" ht="22.5" customHeight="1" thickBot="1" x14ac:dyDescent="0.3">
      <c r="A49" s="1295" t="s">
        <v>29</v>
      </c>
      <c r="B49" s="203">
        <v>1200</v>
      </c>
      <c r="C49" s="287">
        <v>600</v>
      </c>
      <c r="D49" s="288">
        <v>50</v>
      </c>
      <c r="E49" s="238" t="s">
        <v>239</v>
      </c>
      <c r="F49" s="289"/>
      <c r="G49" s="263"/>
      <c r="H49" s="290" t="s">
        <v>704</v>
      </c>
      <c r="I49" s="592" t="str">
        <f>IF(E49="C",ROUNDUP(10000/180/КровляDDP!O49,0)*КровляDDP!O49," ")</f>
        <v xml:space="preserve"> </v>
      </c>
      <c r="J49" s="97">
        <v>4</v>
      </c>
      <c r="K49" s="166">
        <v>2.88</v>
      </c>
      <c r="L49" s="126">
        <v>0.14399999999999999</v>
      </c>
      <c r="M49" s="127">
        <v>48</v>
      </c>
      <c r="N49" s="166">
        <v>6.9119999999999999</v>
      </c>
      <c r="O49" s="166">
        <v>76.031999999999996</v>
      </c>
      <c r="P49" s="266"/>
      <c r="Q49" s="88">
        <f t="shared" si="0"/>
        <v>1210.4639999999999</v>
      </c>
      <c r="R49" s="1165">
        <v>8406</v>
      </c>
      <c r="S49" s="101">
        <f t="shared" si="1"/>
        <v>420.3</v>
      </c>
      <c r="T49" s="745" t="s">
        <v>427</v>
      </c>
      <c r="V49" s="953">
        <f>IF($V$2&lt;4,SUMIFS(РегСкидка!$C$3:$C$619,РегСкидка!$D$3:$D$619,INDEX('Доставка по областям'!$G$2:$G$90,'КРОВЛЯ Рязань'!$Q$5),РегСкидка!$B$3:$B$619,T49,РегСкидка!$E$3:$E$619,$V$7)/100*IF(OR($V$3=1,$V$3=2,$V$3=3,$V$3=4),1,0),0)</f>
        <v>0</v>
      </c>
      <c r="W49" s="745"/>
      <c r="X49" s="4"/>
      <c r="Y49" s="1234"/>
      <c r="AA49" s="2"/>
    </row>
    <row r="50" spans="1:28" ht="22.5" customHeight="1" thickBot="1" x14ac:dyDescent="0.3">
      <c r="A50" s="1296"/>
      <c r="B50" s="292"/>
      <c r="C50" s="293"/>
      <c r="D50" s="294"/>
      <c r="E50" s="295"/>
      <c r="F50" s="289"/>
      <c r="G50" s="289"/>
      <c r="H50" s="296"/>
      <c r="I50" s="297"/>
      <c r="J50" s="298"/>
      <c r="K50" s="299"/>
      <c r="L50" s="300"/>
      <c r="M50" s="301"/>
      <c r="N50" s="299"/>
      <c r="O50" s="299"/>
      <c r="P50" s="302"/>
      <c r="Q50" s="303"/>
      <c r="R50" s="304"/>
      <c r="S50" s="305"/>
      <c r="V50" s="953"/>
      <c r="W50" s="4"/>
      <c r="X50" s="80"/>
      <c r="Y50" s="2"/>
      <c r="AA50" s="2"/>
    </row>
    <row r="51" spans="1:28" ht="20.100000000000001" customHeight="1" x14ac:dyDescent="0.25">
      <c r="A51" s="18"/>
      <c r="B51" s="134"/>
      <c r="C51" s="134"/>
      <c r="D51" s="134"/>
      <c r="E51" s="138"/>
      <c r="F51" s="138"/>
      <c r="G51" s="138"/>
      <c r="H51" s="138"/>
      <c r="I51" s="138"/>
      <c r="J51" s="135"/>
      <c r="K51" s="134"/>
      <c r="L51" s="261"/>
      <c r="M51" s="135"/>
      <c r="N51" s="137"/>
      <c r="O51" s="134"/>
      <c r="P51" s="261"/>
      <c r="Q51" s="134"/>
      <c r="R51" s="134"/>
      <c r="S51" s="134"/>
      <c r="V51" s="953"/>
    </row>
    <row r="52" spans="1:28" ht="18.75" customHeight="1" x14ac:dyDescent="0.25">
      <c r="A52" s="1" t="s">
        <v>7</v>
      </c>
      <c r="E52" s="2"/>
      <c r="F52" s="2"/>
      <c r="G52" s="2"/>
      <c r="H52" s="2"/>
      <c r="I52" s="2"/>
      <c r="O52" s="1275" t="s">
        <v>21</v>
      </c>
      <c r="P52" s="1275"/>
      <c r="Q52" s="1275"/>
      <c r="R52" s="1275"/>
      <c r="S52" s="1275"/>
      <c r="V52" s="953"/>
      <c r="X52" s="2"/>
      <c r="Y52" s="2"/>
      <c r="Z52" s="82"/>
      <c r="AA52" s="2"/>
      <c r="AB52" s="2"/>
    </row>
    <row r="53" spans="1:28" s="32" customFormat="1" ht="20.100000000000001" customHeight="1" x14ac:dyDescent="0.25">
      <c r="A53" s="471" t="s">
        <v>342</v>
      </c>
      <c r="J53" s="33"/>
      <c r="L53" s="34"/>
      <c r="M53" s="33"/>
      <c r="N53" s="59"/>
      <c r="O53" s="1244" t="s">
        <v>40</v>
      </c>
      <c r="P53" s="1244"/>
      <c r="Q53" s="1244"/>
      <c r="R53" s="1244"/>
      <c r="S53" s="1244"/>
      <c r="T53" s="745"/>
      <c r="U53" s="953"/>
      <c r="V53" s="953"/>
      <c r="Z53" s="84"/>
    </row>
    <row r="54" spans="1:28" ht="20.100000000000001" customHeight="1" x14ac:dyDescent="0.25">
      <c r="A54" s="26" t="s">
        <v>23</v>
      </c>
      <c r="E54" s="2"/>
      <c r="F54" s="2"/>
      <c r="G54" s="2"/>
      <c r="H54" s="2"/>
      <c r="I54" s="2"/>
      <c r="O54" s="1244" t="s">
        <v>39</v>
      </c>
      <c r="P54" s="1244"/>
      <c r="Q54" s="1244"/>
      <c r="R54" s="1244"/>
      <c r="S54" s="1244"/>
      <c r="V54" s="953"/>
      <c r="X54" s="2"/>
      <c r="Y54" s="2"/>
      <c r="Z54" s="82"/>
      <c r="AA54" s="2"/>
      <c r="AB54" s="2"/>
    </row>
    <row r="55" spans="1:28" ht="20.100000000000001" customHeight="1" x14ac:dyDescent="0.25">
      <c r="A55" s="26" t="s">
        <v>24</v>
      </c>
      <c r="E55" s="2"/>
      <c r="F55" s="2"/>
      <c r="G55" s="2"/>
      <c r="H55" s="2"/>
      <c r="I55" s="2"/>
      <c r="O55" s="1245" t="s">
        <v>37</v>
      </c>
      <c r="P55" s="1245"/>
      <c r="Q55" s="1245"/>
      <c r="R55" s="1245"/>
      <c r="S55" s="1245"/>
      <c r="V55" s="953"/>
      <c r="X55" s="2"/>
      <c r="Y55" s="2"/>
      <c r="Z55" s="82"/>
      <c r="AA55" s="2"/>
      <c r="AB55" s="2"/>
    </row>
    <row r="56" spans="1:28" ht="20.100000000000001" customHeight="1" x14ac:dyDescent="0.25">
      <c r="A56" s="26" t="s">
        <v>52</v>
      </c>
      <c r="E56" s="2"/>
      <c r="F56" s="2"/>
      <c r="G56" s="2"/>
      <c r="H56" s="2"/>
      <c r="I56" s="2"/>
      <c r="Q56" s="1245" t="s">
        <v>38</v>
      </c>
      <c r="R56" s="1245"/>
      <c r="S56" s="1245"/>
      <c r="T56" s="1029"/>
      <c r="V56" s="953"/>
      <c r="W56" s="74"/>
      <c r="X56" s="81"/>
      <c r="Y56" s="2"/>
      <c r="Z56" s="82"/>
      <c r="AA56" s="2"/>
      <c r="AB56" s="2"/>
    </row>
    <row r="57" spans="1:28" ht="20.100000000000001" customHeight="1" x14ac:dyDescent="0.25">
      <c r="A57" s="30" t="s">
        <v>54</v>
      </c>
      <c r="E57" s="2"/>
      <c r="F57" s="2"/>
      <c r="G57" s="4"/>
      <c r="H57" s="2"/>
      <c r="I57" s="5"/>
      <c r="K57" s="56"/>
      <c r="V57" s="953"/>
      <c r="X57" s="2"/>
      <c r="Y57" s="2"/>
      <c r="Z57" s="82"/>
      <c r="AA57" s="2"/>
      <c r="AB57" s="2"/>
    </row>
    <row r="58" spans="1:28" ht="20.100000000000001" customHeight="1" x14ac:dyDescent="0.25">
      <c r="A58" s="30" t="s">
        <v>240</v>
      </c>
      <c r="E58" s="2"/>
      <c r="F58" s="2"/>
      <c r="G58" s="4"/>
      <c r="H58" s="2"/>
      <c r="I58" s="5"/>
      <c r="K58" s="56"/>
      <c r="V58" s="953"/>
      <c r="X58" s="2"/>
      <c r="Y58" s="2"/>
      <c r="Z58" s="82"/>
      <c r="AA58" s="2"/>
      <c r="AB58" s="2"/>
    </row>
    <row r="59" spans="1:28" ht="20.100000000000001" customHeight="1" x14ac:dyDescent="0.25">
      <c r="A59" s="30" t="s">
        <v>559</v>
      </c>
      <c r="E59" s="2"/>
      <c r="F59" s="2"/>
      <c r="G59" s="4"/>
      <c r="H59" s="2"/>
      <c r="I59" s="5"/>
      <c r="K59" s="56"/>
      <c r="V59" s="953"/>
      <c r="X59" s="2"/>
      <c r="Y59" s="2"/>
      <c r="Z59" s="82"/>
      <c r="AA59" s="2"/>
      <c r="AB59" s="2"/>
    </row>
    <row r="60" spans="1:28" ht="20.100000000000001" customHeight="1" x14ac:dyDescent="0.25">
      <c r="A60" s="31"/>
      <c r="E60" s="2"/>
      <c r="F60" s="2"/>
      <c r="G60" s="2"/>
      <c r="H60" s="2"/>
      <c r="I60" s="2"/>
      <c r="V60" s="953"/>
      <c r="X60" s="2"/>
      <c r="Y60" s="2"/>
      <c r="Z60" s="82"/>
      <c r="AA60" s="2"/>
      <c r="AB60" s="2"/>
    </row>
    <row r="61" spans="1:28" ht="20.100000000000001" customHeight="1" x14ac:dyDescent="0.25">
      <c r="E61" s="2"/>
      <c r="F61" s="2"/>
      <c r="G61" s="2"/>
      <c r="H61" s="2"/>
      <c r="I61" s="2"/>
      <c r="V61" s="953"/>
      <c r="X61" s="2"/>
      <c r="Y61" s="2"/>
      <c r="Z61" s="82"/>
      <c r="AA61" s="2"/>
      <c r="AB61" s="2"/>
    </row>
    <row r="62" spans="1:28" ht="19.5" customHeight="1" x14ac:dyDescent="0.25">
      <c r="A62" s="2"/>
      <c r="E62" s="2"/>
      <c r="F62" s="2"/>
      <c r="G62" s="2"/>
      <c r="H62" s="2"/>
      <c r="I62" s="2"/>
      <c r="V62" s="953"/>
      <c r="X62" s="2"/>
      <c r="Y62" s="2"/>
      <c r="Z62" s="82"/>
      <c r="AA62" s="2"/>
      <c r="AB62" s="2"/>
    </row>
    <row r="63" spans="1:28" ht="20.100000000000001" customHeight="1" x14ac:dyDescent="0.25">
      <c r="A63" s="2"/>
      <c r="E63" s="2"/>
      <c r="F63" s="2"/>
      <c r="G63" s="2"/>
      <c r="H63" s="2"/>
      <c r="I63" s="2"/>
      <c r="V63" s="953"/>
      <c r="X63" s="2"/>
      <c r="Y63" s="2"/>
      <c r="Z63" s="82"/>
      <c r="AA63" s="2"/>
      <c r="AB63" s="2"/>
    </row>
    <row r="64" spans="1:28" ht="20.100000000000001" customHeight="1" x14ac:dyDescent="0.25">
      <c r="A64" s="2"/>
      <c r="C64" s="19"/>
      <c r="D64" s="20"/>
      <c r="E64" s="20"/>
      <c r="F64" s="20"/>
      <c r="G64" s="20"/>
      <c r="H64" s="20"/>
      <c r="I64" s="20"/>
      <c r="J64" s="21"/>
      <c r="K64" s="20"/>
      <c r="L64" s="22"/>
      <c r="M64" s="69"/>
      <c r="N64" s="60"/>
      <c r="O64" s="20"/>
      <c r="P64" s="22"/>
      <c r="Q64" s="22"/>
      <c r="R64" s="22"/>
      <c r="S64" s="22"/>
      <c r="V64" s="953"/>
      <c r="X64" s="2"/>
      <c r="Y64" s="2"/>
      <c r="Z64" s="82"/>
      <c r="AA64" s="2"/>
      <c r="AB64" s="2"/>
    </row>
    <row r="65" spans="2:28" ht="20.100000000000001" customHeight="1" x14ac:dyDescent="0.25">
      <c r="C65" s="23"/>
      <c r="D65" s="20"/>
      <c r="E65" s="20"/>
      <c r="F65" s="20"/>
      <c r="G65" s="20"/>
      <c r="H65" s="20"/>
      <c r="I65" s="20"/>
      <c r="J65" s="21"/>
      <c r="K65" s="20"/>
      <c r="L65" s="24"/>
      <c r="M65" s="70"/>
      <c r="N65" s="60"/>
      <c r="O65" s="20"/>
      <c r="P65" s="24"/>
      <c r="Q65" s="24"/>
      <c r="R65" s="24"/>
      <c r="S65" s="24"/>
      <c r="V65" s="953"/>
      <c r="X65" s="2"/>
      <c r="Y65" s="2"/>
      <c r="Z65" s="82"/>
      <c r="AA65" s="2"/>
      <c r="AB65" s="2"/>
    </row>
    <row r="66" spans="2:28" ht="20.100000000000001" customHeight="1" x14ac:dyDescent="0.25">
      <c r="C66" s="23"/>
      <c r="D66" s="20"/>
      <c r="E66" s="20"/>
      <c r="F66" s="20"/>
      <c r="G66" s="20"/>
      <c r="H66" s="20"/>
      <c r="I66" s="20"/>
      <c r="J66" s="21"/>
      <c r="K66" s="20"/>
      <c r="L66" s="24"/>
      <c r="M66" s="70"/>
      <c r="N66" s="60"/>
      <c r="O66" s="20"/>
      <c r="P66" s="24"/>
      <c r="Q66" s="24"/>
      <c r="R66" s="24"/>
      <c r="S66" s="24"/>
      <c r="V66" s="953"/>
      <c r="X66" s="2"/>
      <c r="Y66" s="2"/>
      <c r="Z66" s="82"/>
      <c r="AA66" s="2"/>
      <c r="AB66" s="2"/>
    </row>
    <row r="67" spans="2:28" x14ac:dyDescent="0.25">
      <c r="V67" s="953"/>
    </row>
    <row r="68" spans="2:28" x14ac:dyDescent="0.25">
      <c r="B68" s="25"/>
      <c r="V68" s="953"/>
    </row>
    <row r="69" spans="2:28" x14ac:dyDescent="0.25">
      <c r="V69" s="953"/>
    </row>
    <row r="70" spans="2:28" x14ac:dyDescent="0.25">
      <c r="V70" s="953"/>
    </row>
    <row r="71" spans="2:28" x14ac:dyDescent="0.25">
      <c r="V71" s="953"/>
    </row>
    <row r="72" spans="2:28" x14ac:dyDescent="0.25">
      <c r="V72" s="953"/>
    </row>
    <row r="73" spans="2:28" x14ac:dyDescent="0.25">
      <c r="V73" s="953"/>
    </row>
    <row r="74" spans="2:28" x14ac:dyDescent="0.25">
      <c r="V74" s="953"/>
    </row>
    <row r="75" spans="2:28" x14ac:dyDescent="0.25">
      <c r="V75" s="953"/>
    </row>
    <row r="76" spans="2:28" x14ac:dyDescent="0.25">
      <c r="V76" s="953"/>
    </row>
    <row r="77" spans="2:28" x14ac:dyDescent="0.25">
      <c r="V77" s="953"/>
    </row>
  </sheetData>
  <mergeCells count="20">
    <mergeCell ref="A49:A50"/>
    <mergeCell ref="A9:A21"/>
    <mergeCell ref="Q6:S6"/>
    <mergeCell ref="I6:I7"/>
    <mergeCell ref="H6:H7"/>
    <mergeCell ref="O6:P6"/>
    <mergeCell ref="Q56:S56"/>
    <mergeCell ref="O52:S52"/>
    <mergeCell ref="O53:S53"/>
    <mergeCell ref="O54:S54"/>
    <mergeCell ref="O55:S55"/>
    <mergeCell ref="A4:S4"/>
    <mergeCell ref="A6:A7"/>
    <mergeCell ref="B6:B7"/>
    <mergeCell ref="C6:C7"/>
    <mergeCell ref="D6:D7"/>
    <mergeCell ref="E6:E7"/>
    <mergeCell ref="F6:F7"/>
    <mergeCell ref="J6:L6"/>
    <mergeCell ref="M6:N6"/>
  </mergeCells>
  <phoneticPr fontId="65" type="noConversion"/>
  <hyperlinks>
    <hyperlink ref="O55" r:id="rId1"/>
    <hyperlink ref="Q56" r:id="rId2"/>
  </hyperlinks>
  <printOptions horizontalCentered="1"/>
  <pageMargins left="0.19685039370078741" right="0.19685039370078741" top="0.39370078740157483" bottom="0" header="0" footer="0"/>
  <pageSetup paperSize="9" scale="40" orientation="portrait" verticalDpi="1" r:id="rId3"/>
  <headerFooter alignWithMargins="0"/>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38</vt:i4>
      </vt:variant>
      <vt:variant>
        <vt:lpstr>Именованные диапазоны</vt:lpstr>
      </vt:variant>
      <vt:variant>
        <vt:i4>32</vt:i4>
      </vt:variant>
    </vt:vector>
  </HeadingPairs>
  <TitlesOfParts>
    <vt:vector size="70" baseType="lpstr">
      <vt:lpstr>РегСкидка</vt:lpstr>
      <vt:lpstr>ЛАЙТ Юрга</vt:lpstr>
      <vt:lpstr>ЛАЙТ Рязань</vt:lpstr>
      <vt:lpstr>ФАСАД Юрга</vt:lpstr>
      <vt:lpstr>ФАСАД Рязань</vt:lpstr>
      <vt:lpstr>ПОЛЫ Юрга</vt:lpstr>
      <vt:lpstr>ПОЛЫ Рязань</vt:lpstr>
      <vt:lpstr>КРОВЛЯ Юрга</vt:lpstr>
      <vt:lpstr>КРОВЛЯ Рязань</vt:lpstr>
      <vt:lpstr>ДВОЙНОЙ</vt:lpstr>
      <vt:lpstr>СЭНДВИЧ</vt:lpstr>
      <vt:lpstr>ИЗОБОКС Рязань</vt:lpstr>
      <vt:lpstr>Плиты П</vt:lpstr>
      <vt:lpstr>ЛАЙТ Заинск</vt:lpstr>
      <vt:lpstr>ФАСАД Заинск</vt:lpstr>
      <vt:lpstr>КРОВЛЯ Заинск</vt:lpstr>
      <vt:lpstr>ИЗОБОКС Заинск</vt:lpstr>
      <vt:lpstr>ПОЛЫ Заинск</vt:lpstr>
      <vt:lpstr>Доставка по областям</vt:lpstr>
      <vt:lpstr>Итоговая стоимость</vt:lpstr>
      <vt:lpstr>Рулонная изоляция</vt:lpstr>
      <vt:lpstr>АКСИ ExW</vt:lpstr>
      <vt:lpstr>АКСИ DDP</vt:lpstr>
      <vt:lpstr>Лайт+АКУСТИК DDP</vt:lpstr>
      <vt:lpstr>ФасадDDP</vt:lpstr>
      <vt:lpstr>КровляDDP</vt:lpstr>
      <vt:lpstr>ДвойнойDDP</vt:lpstr>
      <vt:lpstr>ПолыDDP</vt:lpstr>
      <vt:lpstr>ПлитыП_DDP</vt:lpstr>
      <vt:lpstr>ИзобоксDDP</vt:lpstr>
      <vt:lpstr>Рулонная изоляция DDP</vt:lpstr>
      <vt:lpstr>СЭНДВИЧИ (ExW)</vt:lpstr>
      <vt:lpstr>Доставка за м3</vt:lpstr>
      <vt:lpstr>ТРУФ КЛИН ExW Заинск</vt:lpstr>
      <vt:lpstr>ТРУФ КЛИН ExW Юрга</vt:lpstr>
      <vt:lpstr>ТРУФ КЛИН ExW Рязань</vt:lpstr>
      <vt:lpstr>ТЕХНОРУФ КЛИН DDP</vt:lpstr>
      <vt:lpstr>Доп. услуги</vt:lpstr>
      <vt:lpstr>'АКСИ DDP'!Область_печати</vt:lpstr>
      <vt:lpstr>'АКСИ ExW'!Область_печати</vt:lpstr>
      <vt:lpstr>ДВОЙНОЙ!Область_печати</vt:lpstr>
      <vt:lpstr>ДвойнойDDP!Область_печати</vt:lpstr>
      <vt:lpstr>'ИЗОБОКС Заинск'!Область_печати</vt:lpstr>
      <vt:lpstr>'ИЗОБОКС Рязань'!Область_печати</vt:lpstr>
      <vt:lpstr>ИзобоксDDP!Область_печати</vt:lpstr>
      <vt:lpstr>'КРОВЛЯ Заинск'!Область_печати</vt:lpstr>
      <vt:lpstr>'КРОВЛЯ Рязань'!Область_печати</vt:lpstr>
      <vt:lpstr>'КРОВЛЯ Юрга'!Область_печати</vt:lpstr>
      <vt:lpstr>КровляDDP!Область_печати</vt:lpstr>
      <vt:lpstr>'ЛАЙТ Заинск'!Область_печати</vt:lpstr>
      <vt:lpstr>'ЛАЙТ Рязань'!Область_печати</vt:lpstr>
      <vt:lpstr>'ЛАЙТ Юрга'!Область_печати</vt:lpstr>
      <vt:lpstr>'Лайт+АКУСТИК DDP'!Область_печати</vt:lpstr>
      <vt:lpstr>'Плиты П'!Область_печати</vt:lpstr>
      <vt:lpstr>ПлитыП_DDP!Область_печати</vt:lpstr>
      <vt:lpstr>'ПОЛЫ Заинск'!Область_печати</vt:lpstr>
      <vt:lpstr>'ПОЛЫ Рязань'!Область_печати</vt:lpstr>
      <vt:lpstr>'ПОЛЫ Юрга'!Область_печати</vt:lpstr>
      <vt:lpstr>ПолыDDP!Область_печати</vt:lpstr>
      <vt:lpstr>'Рулонная изоляция'!Область_печати</vt:lpstr>
      <vt:lpstr>'Рулонная изоляция DDP'!Область_печати</vt:lpstr>
      <vt:lpstr>СЭНДВИЧ!Область_печати</vt:lpstr>
      <vt:lpstr>'ТЕХНОРУФ КЛИН DDP'!Область_печати</vt:lpstr>
      <vt:lpstr>'ТРУФ КЛИН ExW Заинск'!Область_печати</vt:lpstr>
      <vt:lpstr>'ТРУФ КЛИН ExW Рязань'!Область_печати</vt:lpstr>
      <vt:lpstr>'ТРУФ КЛИН ExW Юрга'!Область_печати</vt:lpstr>
      <vt:lpstr>'ФАСАД Заинск'!Область_печати</vt:lpstr>
      <vt:lpstr>'ФАСАД Рязань'!Область_печати</vt:lpstr>
      <vt:lpstr>'ФАСАД Юрга'!Область_печати</vt:lpstr>
      <vt:lpstr>ФасадDDP!Область_печати</vt:lpstr>
    </vt:vector>
  </TitlesOfParts>
  <Company>ЗАО "Изорок"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cp:lastModifiedBy>
  <cp:lastPrinted>2014-12-08T09:46:45Z</cp:lastPrinted>
  <dcterms:created xsi:type="dcterms:W3CDTF">2002-02-19T08:42:42Z</dcterms:created>
  <dcterms:modified xsi:type="dcterms:W3CDTF">2015-02-02T12:16:45Z</dcterms:modified>
</cp:coreProperties>
</file>